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反激变压器" sheetId="1" r:id="rId1"/>
  </sheets>
  <definedNames/>
  <calcPr fullCalcOnLoad="1"/>
</workbook>
</file>

<file path=xl/sharedStrings.xml><?xml version="1.0" encoding="utf-8"?>
<sst xmlns="http://schemas.openxmlformats.org/spreadsheetml/2006/main" count="153" uniqueCount="125">
  <si>
    <t>V</t>
  </si>
  <si>
    <t>A</t>
  </si>
  <si>
    <t>电流密度</t>
  </si>
  <si>
    <t>V</t>
  </si>
  <si>
    <t>uS</t>
  </si>
  <si>
    <t>kHz</t>
  </si>
  <si>
    <t>参数值</t>
  </si>
  <si>
    <t>单位</t>
  </si>
  <si>
    <t>参数</t>
  </si>
  <si>
    <t>单位</t>
  </si>
  <si>
    <t>项目</t>
  </si>
  <si>
    <t>W</t>
  </si>
  <si>
    <t>开关周期Ts</t>
  </si>
  <si>
    <t>W</t>
  </si>
  <si>
    <t>V</t>
  </si>
  <si>
    <t>T</t>
  </si>
  <si>
    <t>最大占空比D</t>
  </si>
  <si>
    <t>A</t>
  </si>
  <si>
    <t>A</t>
  </si>
  <si>
    <r>
      <t>辅路输出</t>
    </r>
    <r>
      <rPr>
        <sz val="12"/>
        <rFont val="Times New Roman"/>
        <family val="1"/>
      </rPr>
      <t>1</t>
    </r>
  </si>
  <si>
    <r>
      <t>辅路输出</t>
    </r>
    <r>
      <rPr>
        <sz val="12"/>
        <rFont val="Times New Roman"/>
        <family val="1"/>
      </rPr>
      <t>2</t>
    </r>
  </si>
  <si>
    <t>辅路输出3</t>
  </si>
  <si>
    <t>辅助绕组</t>
  </si>
  <si>
    <r>
      <t>辅助绕组电流</t>
    </r>
  </si>
  <si>
    <t>项目名称</t>
  </si>
  <si>
    <t>&lt;=1</t>
  </si>
  <si>
    <r>
      <t>此系数取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则为</t>
    </r>
    <r>
      <rPr>
        <sz val="12"/>
        <rFont val="Times New Roman"/>
        <family val="1"/>
      </rPr>
      <t>DCM</t>
    </r>
    <r>
      <rPr>
        <sz val="12"/>
        <rFont val="宋体"/>
        <family val="0"/>
      </rPr>
      <t>模式</t>
    </r>
  </si>
  <si>
    <r>
      <t>输入</t>
    </r>
    <r>
      <rPr>
        <sz val="12"/>
        <rFont val="Times New Roman"/>
        <family val="1"/>
      </rPr>
      <t>AC</t>
    </r>
    <r>
      <rPr>
        <sz val="12"/>
        <rFont val="宋体"/>
        <family val="0"/>
      </rPr>
      <t>最小电压</t>
    </r>
  </si>
  <si>
    <r>
      <t>输入</t>
    </r>
    <r>
      <rPr>
        <sz val="12"/>
        <rFont val="Times New Roman"/>
        <family val="1"/>
      </rPr>
      <t>AC</t>
    </r>
    <r>
      <rPr>
        <sz val="12"/>
        <rFont val="宋体"/>
        <family val="0"/>
      </rPr>
      <t>最大电压</t>
    </r>
  </si>
  <si>
    <t>辅路电流1(Vo1)</t>
  </si>
  <si>
    <t>辅路电流2(Vo2)</t>
  </si>
  <si>
    <t>辅路电流3(Vo3)</t>
  </si>
  <si>
    <r>
      <t>A/cm</t>
    </r>
    <r>
      <rPr>
        <vertAlign val="superscript"/>
        <sz val="12"/>
        <rFont val="Times New Roman"/>
        <family val="1"/>
      </rPr>
      <t>2</t>
    </r>
  </si>
  <si>
    <t>V</t>
  </si>
  <si>
    <t>V</t>
  </si>
  <si>
    <t>根据输出整流形式，估算二级管、电感、副边线圈上的压降</t>
  </si>
  <si>
    <t>副边电压V2</t>
  </si>
  <si>
    <t>按桥式整流、电容滤波为交流有效值的1.2-1.4倍计算出最大/小直流电压</t>
  </si>
  <si>
    <t xml:space="preserve">    根据设计要求填入红色的参数，即可自动计算出带灰底的参数</t>
  </si>
  <si>
    <t>输出整流损耗</t>
  </si>
  <si>
    <t>Ns  = V2/V1min * Np</t>
  </si>
  <si>
    <t>一、设计要求</t>
  </si>
  <si>
    <t>二、效率、频率、占空比</t>
  </si>
  <si>
    <t>三、选择磁芯</t>
  </si>
  <si>
    <r>
      <t>cm</t>
    </r>
    <r>
      <rPr>
        <vertAlign val="superscript"/>
        <sz val="12"/>
        <rFont val="Times New Roman"/>
        <family val="1"/>
      </rPr>
      <t>2</t>
    </r>
  </si>
  <si>
    <t>最小DC输入</t>
  </si>
  <si>
    <t>最大DC输入</t>
  </si>
  <si>
    <t>交变磁通范围</t>
  </si>
  <si>
    <t>五、副边匝数</t>
  </si>
  <si>
    <t>副边伏匝值</t>
  </si>
  <si>
    <t>伏/匝</t>
  </si>
  <si>
    <t>原边伏匝值</t>
  </si>
  <si>
    <t>uS</t>
  </si>
  <si>
    <t>六、占空比校正、辅助绕组</t>
  </si>
  <si>
    <t>辅助绕组损耗</t>
  </si>
  <si>
    <t>辅助绕组匝数</t>
  </si>
  <si>
    <r>
      <t>电感系数A</t>
    </r>
    <r>
      <rPr>
        <sz val="8"/>
        <rFont val="宋体"/>
        <family val="0"/>
      </rPr>
      <t>L</t>
    </r>
  </si>
  <si>
    <r>
      <t>H/</t>
    </r>
    <r>
      <rPr>
        <sz val="12"/>
        <rFont val="宋体"/>
        <family val="0"/>
      </rPr>
      <t>匝</t>
    </r>
    <r>
      <rPr>
        <vertAlign val="superscript"/>
        <sz val="12"/>
        <rFont val="Times New Roman"/>
        <family val="1"/>
      </rPr>
      <t>2</t>
    </r>
  </si>
  <si>
    <r>
      <t>△</t>
    </r>
    <r>
      <rPr>
        <sz val="12"/>
        <rFont val="宋体"/>
        <family val="0"/>
      </rPr>
      <t>I</t>
    </r>
    <r>
      <rPr>
        <sz val="10"/>
        <rFont val="宋体"/>
        <family val="0"/>
      </rPr>
      <t>ac</t>
    </r>
    <r>
      <rPr>
        <sz val="12"/>
        <rFont val="宋体"/>
        <family val="0"/>
      </rPr>
      <t xml:space="preserve"> = Ip * Krp</t>
    </r>
  </si>
  <si>
    <r>
      <t>I</t>
    </r>
    <r>
      <rPr>
        <sz val="10"/>
        <rFont val="宋体"/>
        <family val="0"/>
      </rPr>
      <t>dc</t>
    </r>
    <r>
      <rPr>
        <sz val="12"/>
        <rFont val="宋体"/>
        <family val="0"/>
      </rPr>
      <t xml:space="preserve"> = Ip * (1-Krp)</t>
    </r>
  </si>
  <si>
    <t>mm</t>
  </si>
  <si>
    <r>
      <t xml:space="preserve">Np = V1min * </t>
    </r>
    <r>
      <rPr>
        <sz val="16"/>
        <rFont val="宋体"/>
        <family val="0"/>
      </rPr>
      <t>t</t>
    </r>
    <r>
      <rPr>
        <sz val="8"/>
        <rFont val="宋体"/>
        <family val="0"/>
      </rPr>
      <t xml:space="preserve">ON </t>
    </r>
    <r>
      <rPr>
        <sz val="12"/>
        <rFont val="宋体"/>
        <family val="0"/>
      </rPr>
      <t>/ (</t>
    </r>
    <r>
      <rPr>
        <sz val="10"/>
        <rFont val="宋体"/>
        <family val="0"/>
      </rPr>
      <t>△</t>
    </r>
    <r>
      <rPr>
        <sz val="12"/>
        <rFont val="宋体"/>
        <family val="0"/>
      </rPr>
      <t>Bac * Ae)</t>
    </r>
  </si>
  <si>
    <t>四、原边匝数</t>
  </si>
  <si>
    <t>辅路匝数1</t>
  </si>
  <si>
    <t>辅路匝数2</t>
  </si>
  <si>
    <t>辅路匝数3</t>
  </si>
  <si>
    <t>辅路1损耗</t>
  </si>
  <si>
    <t>辅路2损耗</t>
  </si>
  <si>
    <t>辅路3损耗</t>
  </si>
  <si>
    <t>七、原边电流</t>
  </si>
  <si>
    <t>脉动系数Krp</t>
  </si>
  <si>
    <t>平均值</t>
  </si>
  <si>
    <t>直流分量</t>
  </si>
  <si>
    <t>Iave = Pi / V1min</t>
  </si>
  <si>
    <r>
      <t xml:space="preserve">Lp = V1min * </t>
    </r>
    <r>
      <rPr>
        <sz val="18"/>
        <rFont val="宋体"/>
        <family val="0"/>
      </rPr>
      <t>t</t>
    </r>
    <r>
      <rPr>
        <sz val="8"/>
        <rFont val="宋体"/>
        <family val="0"/>
      </rPr>
      <t xml:space="preserve">ON </t>
    </r>
    <r>
      <rPr>
        <sz val="12"/>
        <rFont val="宋体"/>
        <family val="0"/>
      </rPr>
      <t xml:space="preserve">/ </t>
    </r>
    <r>
      <rPr>
        <sz val="9"/>
        <rFont val="宋体"/>
        <family val="0"/>
      </rPr>
      <t>△</t>
    </r>
    <r>
      <rPr>
        <sz val="16"/>
        <rFont val="宋体"/>
        <family val="0"/>
      </rPr>
      <t>I</t>
    </r>
    <r>
      <rPr>
        <sz val="10"/>
        <rFont val="宋体"/>
        <family val="0"/>
      </rPr>
      <t>ac</t>
    </r>
  </si>
  <si>
    <t>mH</t>
  </si>
  <si>
    <t>输出负电压的这里不要输入负号</t>
  </si>
  <si>
    <t>匝数取整法如果不符合要求,可以删除公式后手工输入取整值</t>
  </si>
  <si>
    <t>八、原边电感、气隙大小</t>
  </si>
  <si>
    <t>据磁芯特性曲线查出气隙</t>
  </si>
  <si>
    <r>
      <t>l</t>
    </r>
    <r>
      <rPr>
        <sz val="12"/>
        <rFont val="宋体"/>
        <family val="0"/>
      </rPr>
      <t xml:space="preserve">g = 4*π*10  </t>
    </r>
    <r>
      <rPr>
        <sz val="9"/>
        <rFont val="宋体"/>
        <family val="0"/>
      </rPr>
      <t xml:space="preserve"> * </t>
    </r>
    <r>
      <rPr>
        <sz val="12"/>
        <rFont val="宋体"/>
        <family val="0"/>
      </rPr>
      <t>Ae</t>
    </r>
    <r>
      <rPr>
        <sz val="12"/>
        <rFont val="宋体"/>
        <family val="0"/>
      </rPr>
      <t xml:space="preserve"> / A</t>
    </r>
    <r>
      <rPr>
        <sz val="8"/>
        <rFont val="宋体"/>
        <family val="0"/>
      </rPr>
      <t>L</t>
    </r>
  </si>
  <si>
    <t>九、磁饱和验证</t>
  </si>
  <si>
    <r>
      <t>△</t>
    </r>
    <r>
      <rPr>
        <sz val="12"/>
        <rFont val="宋体"/>
        <family val="0"/>
      </rPr>
      <t>B</t>
    </r>
    <r>
      <rPr>
        <sz val="11"/>
        <rFont val="宋体"/>
        <family val="0"/>
      </rPr>
      <t>ac</t>
    </r>
    <r>
      <rPr>
        <sz val="12"/>
        <rFont val="宋体"/>
        <family val="0"/>
      </rPr>
      <t xml:space="preserve"> = V1</t>
    </r>
    <r>
      <rPr>
        <sz val="10"/>
        <rFont val="宋体"/>
        <family val="0"/>
      </rPr>
      <t>min</t>
    </r>
    <r>
      <rPr>
        <sz val="12"/>
        <rFont val="宋体"/>
        <family val="0"/>
      </rPr>
      <t xml:space="preserve"> * </t>
    </r>
    <r>
      <rPr>
        <sz val="16"/>
        <rFont val="宋体"/>
        <family val="0"/>
      </rPr>
      <t>t</t>
    </r>
    <r>
      <rPr>
        <sz val="9"/>
        <rFont val="宋体"/>
        <family val="0"/>
      </rPr>
      <t>ON</t>
    </r>
    <r>
      <rPr>
        <sz val="12"/>
        <rFont val="宋体"/>
        <family val="0"/>
      </rPr>
      <t xml:space="preserve"> / (Np * Ae)</t>
    </r>
  </si>
  <si>
    <t>T</t>
  </si>
  <si>
    <t>交变分量</t>
  </si>
  <si>
    <r>
      <t xml:space="preserve">Bdc  = 4*π*10   * Np * </t>
    </r>
    <r>
      <rPr>
        <sz val="14"/>
        <rFont val="宋体"/>
        <family val="0"/>
      </rPr>
      <t>I</t>
    </r>
    <r>
      <rPr>
        <sz val="11"/>
        <rFont val="宋体"/>
        <family val="0"/>
      </rPr>
      <t>dc</t>
    </r>
    <r>
      <rPr>
        <sz val="12"/>
        <rFont val="宋体"/>
        <family val="0"/>
      </rPr>
      <t xml:space="preserve"> / </t>
    </r>
    <r>
      <rPr>
        <sz val="14"/>
        <rFont val="宋体"/>
        <family val="0"/>
      </rPr>
      <t>l</t>
    </r>
    <r>
      <rPr>
        <sz val="11"/>
        <rFont val="宋体"/>
        <family val="0"/>
      </rPr>
      <t>g</t>
    </r>
  </si>
  <si>
    <t>最大磁感应强度</t>
  </si>
  <si>
    <r>
      <t xml:space="preserve">Bm = </t>
    </r>
    <r>
      <rPr>
        <sz val="10"/>
        <rFont val="宋体"/>
        <family val="0"/>
      </rPr>
      <t>△</t>
    </r>
    <r>
      <rPr>
        <sz val="12"/>
        <rFont val="宋体"/>
        <family val="0"/>
      </rPr>
      <t>Bac/2 + Bdc</t>
    </r>
  </si>
  <si>
    <t>检查是否超过所选磁芯饱和磁通</t>
  </si>
  <si>
    <t>四舍五入取整</t>
  </si>
  <si>
    <t>十、线径</t>
  </si>
  <si>
    <t>原边线截面积</t>
  </si>
  <si>
    <t>mm</t>
  </si>
  <si>
    <r>
      <t>mm</t>
    </r>
    <r>
      <rPr>
        <vertAlign val="superscript"/>
        <sz val="12"/>
        <rFont val="Times New Roman"/>
        <family val="1"/>
      </rPr>
      <t>2</t>
    </r>
  </si>
  <si>
    <t>副边线截面积</t>
  </si>
  <si>
    <t>副边峰值电流</t>
  </si>
  <si>
    <t>副边电流有效值</t>
  </si>
  <si>
    <t>原边线径</t>
  </si>
  <si>
    <t>副边线径</t>
  </si>
  <si>
    <t>主开关元件导通压降</t>
  </si>
  <si>
    <t>Ip   = Iave / [(1-0.5*Krp) * Dm]</t>
  </si>
  <si>
    <t>Irms = Ip *   Dm*(Krp²/3-Krp+1)</t>
  </si>
  <si>
    <t>查线规表，选择满足条件的线号，考虑集肤效应,较粗的线取多股并绕</t>
  </si>
  <si>
    <t>主路输出</t>
  </si>
  <si>
    <t>主路负载电流(Vo)</t>
  </si>
  <si>
    <t>输出功率Po</t>
  </si>
  <si>
    <t>输入功率Pi</t>
  </si>
  <si>
    <r>
      <t>原边最小电压V1</t>
    </r>
    <r>
      <rPr>
        <sz val="11"/>
        <color indexed="12"/>
        <rFont val="宋体"/>
        <family val="0"/>
      </rPr>
      <t>min</t>
    </r>
  </si>
  <si>
    <t>预计效率η</t>
  </si>
  <si>
    <r>
      <t>△</t>
    </r>
    <r>
      <rPr>
        <sz val="12"/>
        <color indexed="12"/>
        <rFont val="宋体"/>
        <family val="0"/>
      </rPr>
      <t>Bac</t>
    </r>
  </si>
  <si>
    <t>新的最大占空比Dm</t>
  </si>
  <si>
    <r>
      <t>新的</t>
    </r>
    <r>
      <rPr>
        <sz val="18"/>
        <color indexed="12"/>
        <rFont val="宋体"/>
        <family val="0"/>
      </rPr>
      <t>t</t>
    </r>
    <r>
      <rPr>
        <sz val="8"/>
        <color indexed="12"/>
        <rFont val="宋体"/>
        <family val="0"/>
      </rPr>
      <t>ON</t>
    </r>
  </si>
  <si>
    <r>
      <t>峰值</t>
    </r>
    <r>
      <rPr>
        <sz val="12"/>
        <color indexed="12"/>
        <rFont val="Times New Roman"/>
        <family val="1"/>
      </rPr>
      <t xml:space="preserve">            </t>
    </r>
  </si>
  <si>
    <t>有效值</t>
  </si>
  <si>
    <t>交流分量</t>
  </si>
  <si>
    <t>直流分量</t>
  </si>
  <si>
    <t>原边电原量</t>
  </si>
  <si>
    <r>
      <t>计算法确定气隙大小</t>
    </r>
  </si>
  <si>
    <t>反激式变压器自动计算表格</t>
  </si>
  <si>
    <r>
      <t>开关导通时间</t>
    </r>
    <r>
      <rPr>
        <sz val="20"/>
        <rFont val="宋体"/>
        <family val="0"/>
      </rPr>
      <t>t</t>
    </r>
    <r>
      <rPr>
        <sz val="9"/>
        <rFont val="宋体"/>
        <family val="0"/>
      </rPr>
      <t>ON</t>
    </r>
  </si>
  <si>
    <r>
      <t>开关频率</t>
    </r>
    <r>
      <rPr>
        <sz val="14"/>
        <color indexed="12"/>
        <rFont val="宋体"/>
        <family val="0"/>
      </rPr>
      <t>f</t>
    </r>
    <r>
      <rPr>
        <sz val="9"/>
        <color indexed="12"/>
        <rFont val="宋体"/>
        <family val="0"/>
      </rPr>
      <t>0</t>
    </r>
  </si>
  <si>
    <t>截面积Ae</t>
  </si>
  <si>
    <t>饱和磁通Bsat</t>
  </si>
  <si>
    <t>原边匝数：</t>
  </si>
  <si>
    <t>副边匝数：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</si>
</sst>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_ "/>
    <numFmt numFmtId="179" formatCode="0.00_ "/>
    <numFmt numFmtId="180" formatCode="0.00_);[Red]\(0.00\)"/>
    <numFmt numFmtId="181" formatCode="0_ "/>
    <numFmt numFmtId="182" formatCode="0.0000_ "/>
    <numFmt numFmtId="183" formatCode="0.000000_ "/>
    <numFmt numFmtId="184" formatCode="0_ ;[Red]\-0\ "/>
    <numFmt numFmtId="185" formatCode="0.000_);[Red]\(0.0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2"/>
      <name val="楷体_GB2312"/>
      <family val="3"/>
    </font>
    <font>
      <b/>
      <sz val="18"/>
      <name val="宋体"/>
      <family val="0"/>
    </font>
    <font>
      <sz val="12"/>
      <color indexed="12"/>
      <name val="宋体"/>
      <family val="0"/>
    </font>
    <font>
      <sz val="10"/>
      <name val="楷体_GB2312"/>
      <family val="3"/>
    </font>
    <font>
      <sz val="9"/>
      <color indexed="12"/>
      <name val="宋体"/>
      <family val="0"/>
    </font>
    <font>
      <sz val="11"/>
      <color indexed="12"/>
      <name val="宋体"/>
      <family val="0"/>
    </font>
    <font>
      <sz val="10"/>
      <color indexed="12"/>
      <name val="宋体"/>
      <family val="0"/>
    </font>
    <font>
      <sz val="18"/>
      <color indexed="12"/>
      <name val="宋体"/>
      <family val="0"/>
    </font>
    <font>
      <sz val="8"/>
      <color indexed="12"/>
      <name val="宋体"/>
      <family val="0"/>
    </font>
    <font>
      <sz val="12"/>
      <color indexed="12"/>
      <name val="Times New Roman"/>
      <family val="1"/>
    </font>
    <font>
      <sz val="14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177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9" fontId="0" fillId="2" borderId="1" xfId="0" applyNumberFormat="1" applyFill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81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81" fontId="2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49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78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26</xdr:row>
      <xdr:rowOff>0</xdr:rowOff>
    </xdr:from>
    <xdr:to>
      <xdr:col>3</xdr:col>
      <xdr:colOff>1009650</xdr:colOff>
      <xdr:row>26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428875" y="5781675"/>
          <a:ext cx="1562100" cy="0"/>
          <a:chOff x="255" y="612"/>
          <a:chExt cx="164" cy="39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281" y="621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255" y="612"/>
            <a:ext cx="4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latin typeface="宋体"/>
                <a:ea typeface="宋体"/>
                <a:cs typeface="宋体"/>
              </a:rPr>
              <a:t>√</a:t>
            </a:r>
          </a:p>
        </xdr:txBody>
      </xdr:sp>
    </xdr:grpSp>
    <xdr:clientData/>
  </xdr:twoCellAnchor>
  <xdr:twoCellAnchor>
    <xdr:from>
      <xdr:col>2</xdr:col>
      <xdr:colOff>190500</xdr:colOff>
      <xdr:row>43</xdr:row>
      <xdr:rowOff>19050</xdr:rowOff>
    </xdr:from>
    <xdr:to>
      <xdr:col>3</xdr:col>
      <xdr:colOff>1009650</xdr:colOff>
      <xdr:row>43</xdr:row>
      <xdr:rowOff>19050</xdr:rowOff>
    </xdr:to>
    <xdr:sp>
      <xdr:nvSpPr>
        <xdr:cNvPr id="4" name="Line 14"/>
        <xdr:cNvSpPr>
          <a:spLocks/>
        </xdr:cNvSpPr>
      </xdr:nvSpPr>
      <xdr:spPr>
        <a:xfrm>
          <a:off x="2676525" y="9420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819150</xdr:colOff>
      <xdr:row>42</xdr:row>
      <xdr:rowOff>142875</xdr:rowOff>
    </xdr:from>
    <xdr:to>
      <xdr:col>2</xdr:col>
      <xdr:colOff>314325</xdr:colOff>
      <xdr:row>44</xdr:row>
      <xdr:rowOff>9525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476500" y="934402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>
              <a:latin typeface="宋体"/>
              <a:ea typeface="宋体"/>
              <a:cs typeface="宋体"/>
            </a:rPr>
            <a:t>√</a:t>
          </a:r>
        </a:p>
      </xdr:txBody>
    </xdr:sp>
    <xdr:clientData/>
  </xdr:twoCellAnchor>
  <xdr:twoCellAnchor>
    <xdr:from>
      <xdr:col>2</xdr:col>
      <xdr:colOff>133350</xdr:colOff>
      <xdr:row>49</xdr:row>
      <xdr:rowOff>19050</xdr:rowOff>
    </xdr:from>
    <xdr:to>
      <xdr:col>2</xdr:col>
      <xdr:colOff>295275</xdr:colOff>
      <xdr:row>49</xdr:row>
      <xdr:rowOff>190500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619375" y="10877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-7</a:t>
          </a:r>
        </a:p>
      </xdr:txBody>
    </xdr:sp>
    <xdr:clientData/>
  </xdr:twoCellAnchor>
  <xdr:twoCellAnchor>
    <xdr:from>
      <xdr:col>2</xdr:col>
      <xdr:colOff>266700</xdr:colOff>
      <xdr:row>52</xdr:row>
      <xdr:rowOff>0</xdr:rowOff>
    </xdr:from>
    <xdr:to>
      <xdr:col>2</xdr:col>
      <xdr:colOff>428625</xdr:colOff>
      <xdr:row>52</xdr:row>
      <xdr:rowOff>171450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2752725" y="11639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15" zoomScaleNormal="115" workbookViewId="0" topLeftCell="A19">
      <selection activeCell="D69" sqref="D69"/>
    </sheetView>
  </sheetViews>
  <sheetFormatPr defaultColWidth="9.00390625" defaultRowHeight="14.25"/>
  <cols>
    <col min="1" max="1" width="21.75390625" style="0" customWidth="1"/>
    <col min="2" max="2" width="10.875" style="0" customWidth="1"/>
    <col min="3" max="3" width="6.50390625" style="0" customWidth="1"/>
    <col min="4" max="4" width="19.125" style="0" customWidth="1"/>
    <col min="5" max="5" width="10.375" style="0" customWidth="1"/>
    <col min="6" max="6" width="5.875" style="0" customWidth="1"/>
    <col min="7" max="7" width="6.375" style="0" customWidth="1"/>
  </cols>
  <sheetData>
    <row r="1" spans="1:6" ht="31.5" customHeight="1">
      <c r="A1" s="42" t="s">
        <v>118</v>
      </c>
      <c r="B1" s="43"/>
      <c r="C1" s="43"/>
      <c r="D1" s="43"/>
      <c r="E1" s="43"/>
      <c r="F1" s="43"/>
    </row>
    <row r="2" spans="1:6" ht="14.25">
      <c r="A2" s="47" t="s">
        <v>38</v>
      </c>
      <c r="B2" s="47"/>
      <c r="C2" s="47"/>
      <c r="D2" s="47"/>
      <c r="E2" s="47"/>
      <c r="F2" s="47"/>
    </row>
    <row r="3" spans="1:6" ht="14.25">
      <c r="A3" s="47"/>
      <c r="B3" s="47"/>
      <c r="C3" s="47"/>
      <c r="D3" s="47"/>
      <c r="E3" s="47"/>
      <c r="F3" s="47"/>
    </row>
    <row r="4" spans="1:6" ht="14.25">
      <c r="A4" s="51"/>
      <c r="B4" s="51"/>
      <c r="C4" s="51"/>
      <c r="D4" s="51"/>
      <c r="E4" s="51"/>
      <c r="F4" s="51"/>
    </row>
    <row r="5" spans="1:6" ht="21.75" customHeight="1">
      <c r="A5" s="40" t="s">
        <v>41</v>
      </c>
      <c r="B5" s="41"/>
      <c r="C5" s="41"/>
      <c r="D5" s="41"/>
      <c r="E5" s="41"/>
      <c r="F5" s="41"/>
    </row>
    <row r="6" spans="1:6" ht="14.25">
      <c r="A6" s="11" t="s">
        <v>24</v>
      </c>
      <c r="B6" s="11" t="s">
        <v>6</v>
      </c>
      <c r="C6" s="11" t="s">
        <v>7</v>
      </c>
      <c r="D6" s="11" t="s">
        <v>10</v>
      </c>
      <c r="E6" s="11" t="s">
        <v>8</v>
      </c>
      <c r="F6" s="11" t="s">
        <v>9</v>
      </c>
    </row>
    <row r="7" spans="1:6" ht="14.25">
      <c r="A7" s="50"/>
      <c r="B7" s="50"/>
      <c r="C7" s="50"/>
      <c r="D7" s="50"/>
      <c r="E7" s="50"/>
      <c r="F7" s="50"/>
    </row>
    <row r="8" spans="1:6" ht="15.75">
      <c r="A8" s="1" t="s">
        <v>27</v>
      </c>
      <c r="B8" s="12">
        <v>185</v>
      </c>
      <c r="C8" s="22" t="s">
        <v>0</v>
      </c>
      <c r="D8" s="1" t="s">
        <v>45</v>
      </c>
      <c r="E8" s="19">
        <f>B8*1.2</f>
        <v>222</v>
      </c>
      <c r="F8" s="11" t="s">
        <v>3</v>
      </c>
    </row>
    <row r="9" spans="1:6" ht="15.75">
      <c r="A9" s="1" t="s">
        <v>28</v>
      </c>
      <c r="B9" s="12">
        <v>265</v>
      </c>
      <c r="C9" s="22" t="s">
        <v>0</v>
      </c>
      <c r="D9" s="1" t="s">
        <v>46</v>
      </c>
      <c r="E9" s="19">
        <f>B9*1.4</f>
        <v>371</v>
      </c>
      <c r="F9" s="11" t="s">
        <v>3</v>
      </c>
    </row>
    <row r="10" spans="1:6" ht="15.75" customHeight="1">
      <c r="A10" s="44" t="s">
        <v>37</v>
      </c>
      <c r="B10" s="45"/>
      <c r="C10" s="45"/>
      <c r="D10" s="45"/>
      <c r="E10" s="45"/>
      <c r="F10" s="46"/>
    </row>
    <row r="11" spans="1:6" ht="15.75" customHeight="1">
      <c r="A11" s="41"/>
      <c r="B11" s="41"/>
      <c r="C11" s="41"/>
      <c r="D11" s="41"/>
      <c r="E11" s="41"/>
      <c r="F11" s="41"/>
    </row>
    <row r="12" spans="1:6" ht="15.75">
      <c r="A12" s="31" t="s">
        <v>103</v>
      </c>
      <c r="B12" s="12">
        <v>5</v>
      </c>
      <c r="C12" s="22" t="s">
        <v>0</v>
      </c>
      <c r="D12" s="32" t="s">
        <v>104</v>
      </c>
      <c r="E12" s="15">
        <v>10</v>
      </c>
      <c r="F12" s="22" t="s">
        <v>1</v>
      </c>
    </row>
    <row r="13" spans="1:6" ht="15.75">
      <c r="A13" s="2" t="s">
        <v>19</v>
      </c>
      <c r="B13" s="12">
        <v>12</v>
      </c>
      <c r="C13" s="22" t="s">
        <v>0</v>
      </c>
      <c r="D13" s="1" t="s">
        <v>29</v>
      </c>
      <c r="E13" s="15">
        <v>3</v>
      </c>
      <c r="F13" s="22" t="s">
        <v>1</v>
      </c>
    </row>
    <row r="14" spans="1:6" ht="15.75">
      <c r="A14" s="2" t="s">
        <v>20</v>
      </c>
      <c r="B14" s="12">
        <v>12</v>
      </c>
      <c r="C14" s="22" t="s">
        <v>0</v>
      </c>
      <c r="D14" s="1" t="s">
        <v>30</v>
      </c>
      <c r="E14" s="15">
        <v>2</v>
      </c>
      <c r="F14" s="22" t="s">
        <v>1</v>
      </c>
    </row>
    <row r="15" spans="1:6" ht="15.75">
      <c r="A15" s="1" t="s">
        <v>21</v>
      </c>
      <c r="B15" s="12">
        <v>0</v>
      </c>
      <c r="C15" s="22" t="s">
        <v>0</v>
      </c>
      <c r="D15" s="1" t="s">
        <v>31</v>
      </c>
      <c r="E15" s="15">
        <v>0</v>
      </c>
      <c r="F15" s="22" t="s">
        <v>1</v>
      </c>
    </row>
    <row r="16" spans="1:6" ht="15.75">
      <c r="A16" s="1" t="s">
        <v>22</v>
      </c>
      <c r="B16" s="12">
        <v>16</v>
      </c>
      <c r="C16" s="22" t="s">
        <v>0</v>
      </c>
      <c r="D16" s="1" t="s">
        <v>23</v>
      </c>
      <c r="E16" s="16">
        <v>0</v>
      </c>
      <c r="F16" s="22" t="s">
        <v>1</v>
      </c>
    </row>
    <row r="17" spans="1:6" ht="15.75">
      <c r="A17" s="44" t="s">
        <v>76</v>
      </c>
      <c r="B17" s="45"/>
      <c r="C17" s="46"/>
      <c r="D17" s="33" t="s">
        <v>105</v>
      </c>
      <c r="E17" s="19">
        <f>ABS(B12*E12)+ABS(B13*E13)+ABS(B14*E14)+ABS(B15*E15)+ABS(B16*E16)</f>
        <v>110</v>
      </c>
      <c r="F17" s="22" t="s">
        <v>11</v>
      </c>
    </row>
    <row r="18" spans="1:7" ht="21.75" customHeight="1">
      <c r="A18" s="40" t="s">
        <v>42</v>
      </c>
      <c r="B18" s="41"/>
      <c r="C18" s="41"/>
      <c r="D18" s="41"/>
      <c r="E18" s="41"/>
      <c r="F18" s="41"/>
      <c r="G18" s="8"/>
    </row>
    <row r="19" spans="1:6" ht="15.75">
      <c r="A19" s="33" t="s">
        <v>108</v>
      </c>
      <c r="B19" s="13">
        <v>0.83</v>
      </c>
      <c r="C19" s="3"/>
      <c r="D19" s="33" t="s">
        <v>106</v>
      </c>
      <c r="E19" s="20">
        <f>E17/B19</f>
        <v>132.53012048192772</v>
      </c>
      <c r="F19" s="23" t="s">
        <v>13</v>
      </c>
    </row>
    <row r="20" spans="1:6" ht="15.75" customHeight="1">
      <c r="A20" s="33" t="s">
        <v>120</v>
      </c>
      <c r="B20" s="12">
        <v>100</v>
      </c>
      <c r="C20" s="22" t="s">
        <v>5</v>
      </c>
      <c r="D20" s="1" t="s">
        <v>12</v>
      </c>
      <c r="E20" s="19">
        <f>TRUNC(1000/B20)</f>
        <v>10</v>
      </c>
      <c r="F20" s="11" t="s">
        <v>4</v>
      </c>
    </row>
    <row r="21" spans="1:6" ht="17.25" customHeight="1">
      <c r="A21" s="1" t="s">
        <v>16</v>
      </c>
      <c r="B21" s="14">
        <v>0.5</v>
      </c>
      <c r="C21" s="3"/>
      <c r="D21" s="37" t="s">
        <v>119</v>
      </c>
      <c r="E21" s="20">
        <f>E20*B21</f>
        <v>5</v>
      </c>
      <c r="F21" s="11" t="s">
        <v>4</v>
      </c>
    </row>
    <row r="22" spans="1:6" ht="16.5" customHeight="1">
      <c r="A22" s="1" t="s">
        <v>99</v>
      </c>
      <c r="B22" s="14">
        <v>0</v>
      </c>
      <c r="C22" s="22" t="s">
        <v>3</v>
      </c>
      <c r="D22" s="32" t="s">
        <v>107</v>
      </c>
      <c r="E22" s="20">
        <f>E8-B22</f>
        <v>222</v>
      </c>
      <c r="F22" s="11" t="s">
        <v>14</v>
      </c>
    </row>
    <row r="23" spans="1:8" ht="24.75" customHeight="1">
      <c r="A23" s="40" t="s">
        <v>43</v>
      </c>
      <c r="B23" s="41"/>
      <c r="C23" s="41"/>
      <c r="D23" s="41"/>
      <c r="E23" s="41"/>
      <c r="F23" s="41"/>
      <c r="H23" s="25"/>
    </row>
    <row r="24" spans="1:6" ht="18.75">
      <c r="A24" s="32" t="s">
        <v>121</v>
      </c>
      <c r="B24" s="17">
        <v>180</v>
      </c>
      <c r="C24" s="11" t="s">
        <v>44</v>
      </c>
      <c r="D24" s="32" t="s">
        <v>122</v>
      </c>
      <c r="E24" s="18">
        <v>0.36</v>
      </c>
      <c r="F24" s="11" t="s">
        <v>15</v>
      </c>
    </row>
    <row r="25" spans="1:6" ht="18" customHeight="1">
      <c r="A25" s="1" t="s">
        <v>47</v>
      </c>
      <c r="B25" s="16">
        <v>0.65</v>
      </c>
      <c r="C25" s="1"/>
      <c r="D25" s="34" t="s">
        <v>109</v>
      </c>
      <c r="E25" s="38">
        <f>E24*B25</f>
        <v>0.23399999999999999</v>
      </c>
      <c r="F25" s="24" t="s">
        <v>15</v>
      </c>
    </row>
    <row r="26" spans="1:6" ht="24.75" customHeight="1">
      <c r="A26" s="40" t="s">
        <v>62</v>
      </c>
      <c r="B26" s="41"/>
      <c r="C26" s="41"/>
      <c r="D26" s="41"/>
      <c r="E26" s="41"/>
      <c r="F26" s="41"/>
    </row>
    <row r="27" spans="1:6" ht="23.25" customHeight="1">
      <c r="A27" s="36" t="s">
        <v>123</v>
      </c>
      <c r="B27" s="39" t="s">
        <v>61</v>
      </c>
      <c r="C27" s="39"/>
      <c r="D27" s="39"/>
      <c r="E27" s="20">
        <f>E8*E21/(E25*B24)</f>
        <v>26.353276353276353</v>
      </c>
      <c r="F27" s="30">
        <f>TRUNC(E27)</f>
        <v>26</v>
      </c>
    </row>
    <row r="28" spans="1:6" ht="24.75" customHeight="1">
      <c r="A28" s="40" t="s">
        <v>48</v>
      </c>
      <c r="B28" s="41"/>
      <c r="C28" s="41"/>
      <c r="D28" s="41"/>
      <c r="E28" s="41"/>
      <c r="F28" s="41"/>
    </row>
    <row r="29" spans="1:6" ht="14.25" customHeight="1">
      <c r="A29" s="1" t="s">
        <v>39</v>
      </c>
      <c r="B29" s="17">
        <v>1.3</v>
      </c>
      <c r="C29" s="26" t="s">
        <v>34</v>
      </c>
      <c r="D29" s="49" t="s">
        <v>35</v>
      </c>
      <c r="E29" s="49"/>
      <c r="F29" s="49"/>
    </row>
    <row r="30" spans="1:6" ht="14.25">
      <c r="A30" s="4" t="s">
        <v>36</v>
      </c>
      <c r="B30" s="19">
        <f>B12+B29</f>
        <v>6.3</v>
      </c>
      <c r="C30" s="26" t="s">
        <v>33</v>
      </c>
      <c r="D30" s="49"/>
      <c r="E30" s="49"/>
      <c r="F30" s="49"/>
    </row>
    <row r="31" spans="1:6" ht="14.25">
      <c r="A31" s="32" t="s">
        <v>124</v>
      </c>
      <c r="B31" s="48" t="s">
        <v>40</v>
      </c>
      <c r="C31" s="48"/>
      <c r="D31" s="48"/>
      <c r="E31" s="20">
        <f>B30/E8*F27</f>
        <v>0.7378378378378377</v>
      </c>
      <c r="F31" s="28">
        <f>TRUNC(E31)+1</f>
        <v>1</v>
      </c>
    </row>
    <row r="32" spans="1:6" ht="22.5">
      <c r="A32" s="40" t="s">
        <v>53</v>
      </c>
      <c r="B32" s="41"/>
      <c r="C32" s="41"/>
      <c r="D32" s="41"/>
      <c r="E32" s="41"/>
      <c r="F32" s="41"/>
    </row>
    <row r="33" spans="1:6" ht="15" customHeight="1">
      <c r="A33" s="1" t="s">
        <v>51</v>
      </c>
      <c r="B33" s="20">
        <f>E22/F27</f>
        <v>8.538461538461538</v>
      </c>
      <c r="C33" s="1" t="s">
        <v>50</v>
      </c>
      <c r="D33" s="1" t="s">
        <v>49</v>
      </c>
      <c r="E33" s="20">
        <f>B30/F31</f>
        <v>6.3</v>
      </c>
      <c r="F33" s="1" t="s">
        <v>50</v>
      </c>
    </row>
    <row r="34" spans="1:6" ht="17.25" customHeight="1">
      <c r="A34" s="32" t="s">
        <v>110</v>
      </c>
      <c r="B34" s="21">
        <f>E33/(E33+B33)</f>
        <v>0.4245723172628305</v>
      </c>
      <c r="C34" s="1"/>
      <c r="D34" s="32" t="s">
        <v>111</v>
      </c>
      <c r="E34" s="20">
        <f>E20*B34</f>
        <v>4.245723172628305</v>
      </c>
      <c r="F34" s="1" t="s">
        <v>52</v>
      </c>
    </row>
    <row r="35" spans="1:7" ht="12.75" customHeight="1">
      <c r="A35" s="4" t="s">
        <v>66</v>
      </c>
      <c r="B35" s="15">
        <v>0</v>
      </c>
      <c r="C35" s="11" t="s">
        <v>34</v>
      </c>
      <c r="D35" s="4" t="s">
        <v>63</v>
      </c>
      <c r="E35" s="20">
        <f>(B13+B35)/E33</f>
        <v>1.9047619047619049</v>
      </c>
      <c r="F35" s="28">
        <f>TRUNC(E35+0.5)</f>
        <v>2</v>
      </c>
      <c r="G35" s="53"/>
    </row>
    <row r="36" spans="1:7" ht="14.25">
      <c r="A36" s="4" t="s">
        <v>67</v>
      </c>
      <c r="B36" s="15">
        <v>0</v>
      </c>
      <c r="C36" s="11" t="s">
        <v>34</v>
      </c>
      <c r="D36" s="4" t="s">
        <v>64</v>
      </c>
      <c r="E36" s="20">
        <f>(B14+B36)/E33</f>
        <v>1.9047619047619049</v>
      </c>
      <c r="F36" s="28">
        <f>TRUNC(E36+0.5)</f>
        <v>2</v>
      </c>
      <c r="G36" s="53"/>
    </row>
    <row r="37" spans="1:7" ht="14.25">
      <c r="A37" s="4" t="s">
        <v>68</v>
      </c>
      <c r="B37" s="15">
        <v>0</v>
      </c>
      <c r="C37" s="24" t="s">
        <v>34</v>
      </c>
      <c r="D37" s="4" t="s">
        <v>65</v>
      </c>
      <c r="E37" s="20">
        <f>(B15+B37)/E33</f>
        <v>0</v>
      </c>
      <c r="F37" s="28">
        <f>TRUNC(E37+0.5)</f>
        <v>0</v>
      </c>
      <c r="G37" s="53"/>
    </row>
    <row r="38" spans="1:6" ht="14.25">
      <c r="A38" s="4" t="s">
        <v>54</v>
      </c>
      <c r="B38" s="15">
        <v>0.7</v>
      </c>
      <c r="C38" s="11" t="s">
        <v>34</v>
      </c>
      <c r="D38" s="1" t="s">
        <v>55</v>
      </c>
      <c r="E38" s="20">
        <f>(B16+B38)/E33</f>
        <v>2.6507936507936507</v>
      </c>
      <c r="F38" s="28">
        <f>TRUNC(E38+0.5)</f>
        <v>3</v>
      </c>
    </row>
    <row r="39" spans="1:6" ht="14.25">
      <c r="A39" s="57" t="s">
        <v>77</v>
      </c>
      <c r="B39" s="58"/>
      <c r="C39" s="58"/>
      <c r="D39" s="58"/>
      <c r="E39" s="59" t="s">
        <v>89</v>
      </c>
      <c r="F39" s="60"/>
    </row>
    <row r="40" spans="1:6" ht="22.5">
      <c r="A40" s="40" t="s">
        <v>69</v>
      </c>
      <c r="B40" s="41"/>
      <c r="C40" s="41"/>
      <c r="D40" s="41"/>
      <c r="E40" s="41"/>
      <c r="F40" s="41"/>
    </row>
    <row r="41" spans="1:6" ht="15.75">
      <c r="A41" s="4" t="s">
        <v>70</v>
      </c>
      <c r="B41" s="16">
        <v>0.66</v>
      </c>
      <c r="C41" s="1" t="s">
        <v>25</v>
      </c>
      <c r="D41" s="39" t="s">
        <v>26</v>
      </c>
      <c r="E41" s="54"/>
      <c r="F41" s="54"/>
    </row>
    <row r="42" spans="1:6" ht="15.75">
      <c r="A42" s="10" t="s">
        <v>71</v>
      </c>
      <c r="B42" s="39" t="s">
        <v>73</v>
      </c>
      <c r="C42" s="39"/>
      <c r="D42" s="39"/>
      <c r="E42" s="21">
        <f>E19/E22</f>
        <v>0.5969825246933681</v>
      </c>
      <c r="F42" s="22" t="s">
        <v>18</v>
      </c>
    </row>
    <row r="43" spans="1:6" ht="15.75">
      <c r="A43" s="35" t="s">
        <v>112</v>
      </c>
      <c r="B43" s="39" t="s">
        <v>100</v>
      </c>
      <c r="C43" s="39"/>
      <c r="D43" s="39"/>
      <c r="E43" s="38">
        <f>E42/(1-0.5*B41)/B34</f>
        <v>2.098626446765271</v>
      </c>
      <c r="F43" s="22" t="s">
        <v>17</v>
      </c>
    </row>
    <row r="44" spans="1:6" ht="15.75">
      <c r="A44" s="36" t="s">
        <v>113</v>
      </c>
      <c r="B44" s="39" t="s">
        <v>101</v>
      </c>
      <c r="C44" s="39"/>
      <c r="D44" s="39"/>
      <c r="E44" s="21">
        <f>E43*SQRT(B34*(B41*B41/3-B41+1))</f>
        <v>0.9525140154359969</v>
      </c>
      <c r="F44" s="22" t="s">
        <v>1</v>
      </c>
    </row>
    <row r="45" spans="1:6" ht="15.75">
      <c r="A45" s="32" t="s">
        <v>114</v>
      </c>
      <c r="B45" s="55" t="s">
        <v>58</v>
      </c>
      <c r="C45" s="39"/>
      <c r="D45" s="39"/>
      <c r="E45" s="38">
        <f>E43*B41</f>
        <v>1.3850934548650788</v>
      </c>
      <c r="F45" s="22" t="s">
        <v>18</v>
      </c>
    </row>
    <row r="46" spans="1:6" ht="18.75">
      <c r="A46" s="32" t="s">
        <v>115</v>
      </c>
      <c r="B46" s="56" t="s">
        <v>59</v>
      </c>
      <c r="C46" s="39"/>
      <c r="D46" s="39"/>
      <c r="E46" s="38">
        <f>E43-E45</f>
        <v>0.713532991900192</v>
      </c>
      <c r="F46" s="22" t="s">
        <v>17</v>
      </c>
    </row>
    <row r="47" spans="1:6" ht="22.5">
      <c r="A47" s="40" t="s">
        <v>78</v>
      </c>
      <c r="B47" s="41"/>
      <c r="C47" s="41"/>
      <c r="D47" s="41"/>
      <c r="E47" s="41"/>
      <c r="F47" s="41"/>
    </row>
    <row r="48" spans="1:6" ht="22.5" customHeight="1">
      <c r="A48" s="32" t="s">
        <v>116</v>
      </c>
      <c r="B48" s="39" t="s">
        <v>74</v>
      </c>
      <c r="C48" s="39"/>
      <c r="D48" s="39"/>
      <c r="E48" s="21">
        <f>E22*E34/E45/1000</f>
        <v>0.6804959918139943</v>
      </c>
      <c r="F48" s="11" t="s">
        <v>75</v>
      </c>
    </row>
    <row r="49" spans="1:6" ht="19.5" customHeight="1">
      <c r="A49" s="1" t="s">
        <v>56</v>
      </c>
      <c r="B49" s="27">
        <f>E48/(F27*F27)/1000</f>
        <v>1.0066508754644888E-06</v>
      </c>
      <c r="C49" s="22" t="s">
        <v>57</v>
      </c>
      <c r="D49" s="44" t="s">
        <v>79</v>
      </c>
      <c r="E49" s="45"/>
      <c r="F49" s="46"/>
    </row>
    <row r="50" spans="1:6" ht="21" customHeight="1">
      <c r="A50" s="32" t="s">
        <v>117</v>
      </c>
      <c r="B50" s="56" t="s">
        <v>80</v>
      </c>
      <c r="C50" s="39"/>
      <c r="D50" s="39"/>
      <c r="E50" s="21">
        <f>3.14159265358979*4/10000000*B24/B49/1000</f>
        <v>0.22470021789241892</v>
      </c>
      <c r="F50" s="11" t="s">
        <v>60</v>
      </c>
    </row>
    <row r="51" spans="1:6" ht="22.5" customHeight="1">
      <c r="A51" s="40" t="s">
        <v>81</v>
      </c>
      <c r="B51" s="41"/>
      <c r="C51" s="41"/>
      <c r="D51" s="41"/>
      <c r="E51" s="41"/>
      <c r="F51" s="41"/>
    </row>
    <row r="52" spans="1:6" ht="18" customHeight="1">
      <c r="A52" s="1" t="s">
        <v>84</v>
      </c>
      <c r="B52" s="63" t="s">
        <v>82</v>
      </c>
      <c r="C52" s="39"/>
      <c r="D52" s="39"/>
      <c r="E52" s="21">
        <f>E22*E34/F27/B24</f>
        <v>0.20139968895800936</v>
      </c>
      <c r="F52" s="11" t="s">
        <v>83</v>
      </c>
    </row>
    <row r="53" spans="1:6" ht="17.25" customHeight="1">
      <c r="A53" s="1" t="s">
        <v>72</v>
      </c>
      <c r="B53" s="39" t="s">
        <v>85</v>
      </c>
      <c r="C53" s="39"/>
      <c r="D53" s="39"/>
      <c r="E53" s="21">
        <f>3.14159265358979*4/10000*F27*E46/E50</f>
        <v>0.10375135491776238</v>
      </c>
      <c r="F53" s="11" t="s">
        <v>83</v>
      </c>
    </row>
    <row r="54" spans="1:6" ht="13.5" customHeight="1">
      <c r="A54" s="1" t="s">
        <v>86</v>
      </c>
      <c r="B54" s="39" t="s">
        <v>87</v>
      </c>
      <c r="C54" s="39"/>
      <c r="D54" s="39"/>
      <c r="E54" s="21">
        <f>E52/2+E53</f>
        <v>0.20445119939676706</v>
      </c>
      <c r="F54" s="11" t="s">
        <v>83</v>
      </c>
    </row>
    <row r="55" spans="1:6" ht="13.5" customHeight="1">
      <c r="A55" s="44" t="s">
        <v>88</v>
      </c>
      <c r="B55" s="61"/>
      <c r="C55" s="61"/>
      <c r="D55" s="61"/>
      <c r="E55" s="61"/>
      <c r="F55" s="62"/>
    </row>
    <row r="56" spans="1:6" ht="24" customHeight="1">
      <c r="A56" s="40" t="s">
        <v>90</v>
      </c>
      <c r="B56" s="41"/>
      <c r="C56" s="41"/>
      <c r="D56" s="41"/>
      <c r="E56" s="41"/>
      <c r="F56" s="41"/>
    </row>
    <row r="57" spans="1:6" ht="18.75">
      <c r="A57" s="1" t="s">
        <v>2</v>
      </c>
      <c r="B57" s="7">
        <v>400</v>
      </c>
      <c r="C57" s="3" t="s">
        <v>32</v>
      </c>
      <c r="D57" s="39"/>
      <c r="E57" s="39"/>
      <c r="F57" s="39"/>
    </row>
    <row r="58" spans="1:6" ht="18.75">
      <c r="A58" s="1" t="s">
        <v>91</v>
      </c>
      <c r="B58" s="21">
        <f>E44/B57*100</f>
        <v>0.23812850385899922</v>
      </c>
      <c r="C58" s="3" t="s">
        <v>93</v>
      </c>
      <c r="D58" s="1" t="s">
        <v>97</v>
      </c>
      <c r="E58" s="20">
        <f>SQRT(B58/3.1415926)*2</f>
        <v>0.5506311224529907</v>
      </c>
      <c r="F58" s="24" t="s">
        <v>92</v>
      </c>
    </row>
    <row r="59" spans="1:6" s="29" customFormat="1" ht="15.75">
      <c r="A59" s="4" t="s">
        <v>95</v>
      </c>
      <c r="B59" s="20">
        <f>E43*F27/F31</f>
        <v>54.564287615897044</v>
      </c>
      <c r="C59" s="9" t="s">
        <v>17</v>
      </c>
      <c r="D59" s="4" t="s">
        <v>96</v>
      </c>
      <c r="E59" s="20">
        <f>B59*(1-0.5*(1-B41))*B34</f>
        <v>19.22818340728789</v>
      </c>
      <c r="F59" s="24" t="s">
        <v>17</v>
      </c>
    </row>
    <row r="60" spans="1:6" ht="16.5" customHeight="1">
      <c r="A60" s="1" t="s">
        <v>94</v>
      </c>
      <c r="B60" s="21">
        <f>E59/B57*100</f>
        <v>4.8070458518219725</v>
      </c>
      <c r="C60" s="3" t="s">
        <v>93</v>
      </c>
      <c r="D60" s="1" t="s">
        <v>98</v>
      </c>
      <c r="E60" s="20">
        <f>SQRT(B60/3.1415926)*2</f>
        <v>2.47396866922354</v>
      </c>
      <c r="F60" s="11" t="s">
        <v>60</v>
      </c>
    </row>
    <row r="61" spans="1:6" ht="15.75" customHeight="1">
      <c r="A61" s="44" t="s">
        <v>102</v>
      </c>
      <c r="B61" s="45"/>
      <c r="C61" s="45"/>
      <c r="D61" s="45"/>
      <c r="E61" s="45"/>
      <c r="F61" s="46"/>
    </row>
    <row r="63" ht="14.25">
      <c r="G63" s="8"/>
    </row>
    <row r="65" spans="1:6" ht="15.75">
      <c r="A65" s="5"/>
      <c r="B65" s="5"/>
      <c r="C65" s="6"/>
      <c r="D65" s="6"/>
      <c r="F65" s="5"/>
    </row>
    <row r="66" spans="1:6" ht="15.75">
      <c r="A66" s="5"/>
      <c r="B66" s="5"/>
      <c r="C66" s="6"/>
      <c r="D66" s="6"/>
      <c r="F66" s="5"/>
    </row>
    <row r="67" spans="1:4" ht="15.75">
      <c r="A67" s="5"/>
      <c r="B67" s="5"/>
      <c r="C67" s="6"/>
      <c r="D67" s="6"/>
    </row>
    <row r="68" spans="1:4" ht="15.75">
      <c r="A68" s="5"/>
      <c r="B68" s="5"/>
      <c r="C68" s="6"/>
      <c r="D68" s="6"/>
    </row>
    <row r="69" spans="1:4" ht="15.75">
      <c r="A69" s="5"/>
      <c r="B69" s="5"/>
      <c r="C69" s="6"/>
      <c r="D69" s="6"/>
    </row>
    <row r="71" spans="1:5" ht="15.75">
      <c r="A71" s="52"/>
      <c r="B71" s="52"/>
      <c r="C71" s="52"/>
      <c r="D71" s="52"/>
      <c r="E71" s="5"/>
    </row>
  </sheetData>
  <mergeCells count="39">
    <mergeCell ref="B54:D54"/>
    <mergeCell ref="A55:F55"/>
    <mergeCell ref="A40:F40"/>
    <mergeCell ref="A51:F51"/>
    <mergeCell ref="B52:D52"/>
    <mergeCell ref="B48:D48"/>
    <mergeCell ref="B50:D50"/>
    <mergeCell ref="D49:F49"/>
    <mergeCell ref="A56:F56"/>
    <mergeCell ref="A71:D71"/>
    <mergeCell ref="A61:F61"/>
    <mergeCell ref="G35:G37"/>
    <mergeCell ref="D41:F41"/>
    <mergeCell ref="B42:D42"/>
    <mergeCell ref="B43:D43"/>
    <mergeCell ref="B44:D44"/>
    <mergeCell ref="B45:D45"/>
    <mergeCell ref="B46:D46"/>
    <mergeCell ref="A47:F47"/>
    <mergeCell ref="A17:C17"/>
    <mergeCell ref="A7:F7"/>
    <mergeCell ref="A4:F4"/>
    <mergeCell ref="A11:F11"/>
    <mergeCell ref="A39:D39"/>
    <mergeCell ref="E39:F39"/>
    <mergeCell ref="B31:D31"/>
    <mergeCell ref="A23:F23"/>
    <mergeCell ref="A28:F28"/>
    <mergeCell ref="A32:F32"/>
    <mergeCell ref="D29:F30"/>
    <mergeCell ref="B53:D53"/>
    <mergeCell ref="A1:F1"/>
    <mergeCell ref="A10:F10"/>
    <mergeCell ref="A2:F3"/>
    <mergeCell ref="A5:F5"/>
    <mergeCell ref="A18:F18"/>
    <mergeCell ref="B27:D27"/>
    <mergeCell ref="D57:F57"/>
    <mergeCell ref="A26:F2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海宁洛克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反激变压器</dc:title>
  <dc:subject/>
  <dc:creator>醉书生</dc:creator>
  <cp:keywords/>
  <dc:description/>
  <cp:lastModifiedBy>tuxw</cp:lastModifiedBy>
  <dcterms:created xsi:type="dcterms:W3CDTF">2005-06-17T05:07:49Z</dcterms:created>
  <dcterms:modified xsi:type="dcterms:W3CDTF">2005-10-04T06:05:18Z</dcterms:modified>
  <cp:category/>
  <cp:version/>
  <cp:contentType/>
  <cp:contentStatus/>
</cp:coreProperties>
</file>