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<sst xmlns="http://schemas.openxmlformats.org/spreadsheetml/2006/main" count="116" uniqueCount="81">
  <si>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导体外径</t>
  </si>
  <si>
    <t>绝缘厚度</t>
  </si>
  <si>
    <t>发泡度</t>
  </si>
  <si>
    <t>外皮厚度</t>
  </si>
  <si>
    <t>绝缘介电常数</t>
  </si>
  <si>
    <t>对绞线间距离</t>
  </si>
  <si>
    <t>体积</t>
  </si>
  <si>
    <t>等效介电常数</t>
  </si>
  <si>
    <r>
      <t>等效介电常数</t>
    </r>
    <r>
      <rPr>
        <sz val="12"/>
        <rFont val="Times New Roman"/>
        <family val="1"/>
      </rPr>
      <t>1</t>
    </r>
  </si>
  <si>
    <t>绝缘外径</t>
  </si>
  <si>
    <t>发泡外径</t>
  </si>
  <si>
    <t>特性阻抗</t>
  </si>
  <si>
    <t>编组单线径</t>
  </si>
  <si>
    <t>体积</t>
  </si>
  <si>
    <t>屏蔽对绞特性阻抗</t>
  </si>
  <si>
    <t>对绞线特性阻抗的计算</t>
  </si>
  <si>
    <t>成品实际</t>
  </si>
  <si>
    <t>对数</t>
  </si>
  <si>
    <t xml:space="preserve">  K1                       </t>
  </si>
  <si>
    <r>
      <t>导体系数</t>
    </r>
    <r>
      <rPr>
        <sz val="12"/>
        <rFont val="Times New Roman"/>
        <family val="1"/>
      </rPr>
      <t>K1</t>
    </r>
  </si>
  <si>
    <t>绝缘体介电常数</t>
  </si>
  <si>
    <t>绝缘体外径</t>
  </si>
  <si>
    <r>
      <t>绝缘体的体积电阻率Ω·</t>
    </r>
    <r>
      <rPr>
        <sz val="12"/>
        <rFont val="Times New Roman"/>
        <family val="1"/>
      </rPr>
      <t>cm</t>
    </r>
  </si>
  <si>
    <r>
      <t>内部导体外径</t>
    </r>
    <r>
      <rPr>
        <sz val="12"/>
        <rFont val="Times New Roman"/>
        <family val="1"/>
      </rPr>
      <t>mm</t>
    </r>
  </si>
  <si>
    <r>
      <t>绝缘体外径</t>
    </r>
    <r>
      <rPr>
        <sz val="12"/>
        <rFont val="Times New Roman"/>
        <family val="1"/>
      </rPr>
      <t>mm</t>
    </r>
  </si>
  <si>
    <r>
      <t>电线长度</t>
    </r>
    <r>
      <rPr>
        <sz val="12"/>
        <rFont val="Times New Roman"/>
        <family val="1"/>
      </rPr>
      <t>cm</t>
    </r>
  </si>
  <si>
    <t>绝缘电阻Ω</t>
  </si>
  <si>
    <r>
      <t>电容</t>
    </r>
    <r>
      <rPr>
        <sz val="12"/>
        <rFont val="Times New Roman"/>
        <family val="1"/>
      </rPr>
      <t>pF/m</t>
    </r>
  </si>
  <si>
    <t>屏蔽电容</t>
  </si>
  <si>
    <t>特性阻抗Ω</t>
  </si>
  <si>
    <t>屏蔽特性阻抗</t>
  </si>
  <si>
    <t>屏蔽电容</t>
  </si>
  <si>
    <r>
      <t>电容</t>
    </r>
    <r>
      <rPr>
        <sz val="12"/>
        <rFont val="Times New Roman"/>
        <family val="1"/>
      </rPr>
      <t>pF/m</t>
    </r>
  </si>
  <si>
    <t>综合屏蔽</t>
  </si>
  <si>
    <t>对绞屏蔽</t>
  </si>
  <si>
    <t>导体系数</t>
  </si>
  <si>
    <t>内导体外径</t>
  </si>
  <si>
    <t>编组单线直径</t>
  </si>
  <si>
    <t>发泡层厚度</t>
  </si>
  <si>
    <r>
      <t>静电容量</t>
    </r>
    <r>
      <rPr>
        <sz val="12"/>
        <rFont val="Times New Roman"/>
        <family val="1"/>
      </rPr>
      <t xml:space="preserve">    pF/m</t>
    </r>
  </si>
  <si>
    <t>频率</t>
  </si>
  <si>
    <t>内部导体导电率</t>
  </si>
  <si>
    <t>外部导体导电率</t>
  </si>
  <si>
    <r>
      <t>衰减量内部导体系数</t>
    </r>
    <r>
      <rPr>
        <sz val="12"/>
        <rFont val="Times New Roman"/>
        <family val="1"/>
      </rPr>
      <t xml:space="preserve"> k2</t>
    </r>
  </si>
  <si>
    <r>
      <t>衰减两外部导体编组系数</t>
    </r>
    <r>
      <rPr>
        <sz val="12"/>
        <rFont val="Times New Roman"/>
        <family val="1"/>
      </rPr>
      <t>k3</t>
    </r>
  </si>
  <si>
    <t>记号</t>
  </si>
  <si>
    <t>线数</t>
  </si>
  <si>
    <t>k3</t>
  </si>
  <si>
    <t>k1</t>
  </si>
  <si>
    <t xml:space="preserve">    0.939    0.957       0.970</t>
  </si>
  <si>
    <t xml:space="preserve">     7         12             19</t>
  </si>
  <si>
    <r>
      <t>衰减量</t>
    </r>
    <r>
      <rPr>
        <sz val="12"/>
        <rFont val="Times New Roman"/>
        <family val="1"/>
      </rPr>
      <t xml:space="preserve">        dB/m</t>
    </r>
  </si>
  <si>
    <t>绝缘介质损耗</t>
  </si>
  <si>
    <t>导体外径</t>
  </si>
  <si>
    <t>发泡层的外径</t>
  </si>
  <si>
    <t>发泡后等效介电常数</t>
  </si>
  <si>
    <t>绝缘占体积</t>
  </si>
  <si>
    <t>导体间距离</t>
  </si>
  <si>
    <r>
      <t>电容</t>
    </r>
    <r>
      <rPr>
        <sz val="12"/>
        <rFont val="Times New Roman"/>
        <family val="1"/>
      </rPr>
      <t xml:space="preserve">    pF/m</t>
    </r>
  </si>
  <si>
    <t>外皮后的介电常数</t>
  </si>
  <si>
    <r>
      <t>导体电阻率Ω·</t>
    </r>
    <r>
      <rPr>
        <sz val="12"/>
        <rFont val="Times New Roman"/>
        <family val="1"/>
      </rPr>
      <t>cm</t>
    </r>
  </si>
  <si>
    <t>导体导磁率</t>
  </si>
  <si>
    <r>
      <t>周波数</t>
    </r>
    <r>
      <rPr>
        <sz val="12"/>
        <rFont val="Times New Roman"/>
        <family val="1"/>
      </rPr>
      <t>MHz</t>
    </r>
  </si>
  <si>
    <r>
      <t>衰减系数</t>
    </r>
    <r>
      <rPr>
        <sz val="12"/>
        <rFont val="Times New Roman"/>
        <family val="1"/>
      </rPr>
      <t xml:space="preserve">  dB/m</t>
    </r>
  </si>
  <si>
    <t>绝缘体介质损耗正切值</t>
  </si>
  <si>
    <t>同轴电线的电气参数计算方法</t>
  </si>
  <si>
    <t>非屏蔽对绞线电气参数的计算方法</t>
  </si>
  <si>
    <t>外导体单线直径</t>
  </si>
  <si>
    <t>屏蔽对绞线的电气性能的计算方法</t>
  </si>
  <si>
    <t>电容</t>
  </si>
  <si>
    <r>
      <t>电容</t>
    </r>
    <r>
      <rPr>
        <sz val="12"/>
        <rFont val="Times New Roman"/>
        <family val="1"/>
      </rPr>
      <t xml:space="preserve">   pF/m</t>
    </r>
  </si>
  <si>
    <t>对数</t>
  </si>
  <si>
    <t>阻抗</t>
  </si>
  <si>
    <t>电容</t>
  </si>
  <si>
    <t>对绞屏蔽综合屏蔽多芯电线中单芯对其它电气性能</t>
  </si>
  <si>
    <t>单芯对其它所有线芯的电容和阻抗</t>
  </si>
  <si>
    <t>综合屏蔽多芯电线中单芯对其它的电气性能</t>
  </si>
  <si>
    <t>对绞屏蔽多芯电线单芯对其它的电气性能</t>
  </si>
  <si>
    <r>
      <t>迟延时间</t>
    </r>
    <r>
      <rPr>
        <sz val="12"/>
        <rFont val="Times New Roman"/>
        <family val="1"/>
      </rPr>
      <t xml:space="preserve">  ns/m</t>
    </r>
  </si>
  <si>
    <r>
      <t>迟延时间</t>
    </r>
    <r>
      <rPr>
        <sz val="12"/>
        <rFont val="Times New Roman"/>
        <family val="1"/>
      </rPr>
      <t xml:space="preserve">   ns/m</t>
    </r>
  </si>
  <si>
    <t>蒸垉悶媼持楕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</si>
</sst>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.00_ "/>
    <numFmt numFmtId="189" formatCode="0.000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color indexed="11"/>
      <name val="宋体"/>
      <family val="0"/>
    </font>
    <font>
      <sz val="18"/>
      <name val="宋体"/>
      <family val="0"/>
    </font>
    <font>
      <sz val="18"/>
      <color indexed="45"/>
      <name val="宋体"/>
      <family val="0"/>
    </font>
    <font>
      <sz val="12"/>
      <color indexed="45"/>
      <name val="宋体"/>
      <family val="0"/>
    </font>
    <font>
      <sz val="18"/>
      <color indexed="10"/>
      <name val="宋体"/>
      <family val="0"/>
    </font>
    <font>
      <sz val="12"/>
      <color indexed="10"/>
      <name val="宋体"/>
      <family val="0"/>
    </font>
    <font>
      <sz val="18"/>
      <color indexed="53"/>
      <name val="宋体"/>
      <family val="0"/>
    </font>
    <font>
      <sz val="18"/>
      <color indexed="49"/>
      <name val="宋体"/>
      <family val="0"/>
    </font>
    <font>
      <sz val="12"/>
      <name val="ＧＢ 中国明朝"/>
      <family val="1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center"/>
    </xf>
    <xf numFmtId="188" fontId="0" fillId="4" borderId="0" xfId="0" applyNumberFormat="1" applyFill="1" applyAlignment="1">
      <alignment/>
    </xf>
    <xf numFmtId="189" fontId="2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wrapText="1"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6" borderId="0" xfId="0" applyFill="1" applyAlignment="1">
      <alignment/>
    </xf>
    <xf numFmtId="0" fontId="10" fillId="6" borderId="0" xfId="0" applyFont="1" applyFill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11" fillId="7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188" fontId="0" fillId="10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11" borderId="1" xfId="0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0" fontId="4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9" fillId="13" borderId="1" xfId="0" applyFont="1" applyFill="1" applyBorder="1" applyAlignment="1">
      <alignment/>
    </xf>
    <xf numFmtId="0" fontId="0" fillId="14" borderId="1" xfId="0" applyFill="1" applyBorder="1" applyAlignment="1">
      <alignment/>
    </xf>
    <xf numFmtId="49" fontId="0" fillId="3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0" sqref="A10"/>
    </sheetView>
  </sheetViews>
  <sheetFormatPr defaultColWidth="9.00390625" defaultRowHeight="14.25"/>
  <cols>
    <col min="1" max="1" width="17.375" style="0" customWidth="1"/>
    <col min="2" max="2" width="9.50390625" style="0" bestFit="1" customWidth="1"/>
    <col min="3" max="3" width="10.125" style="0" customWidth="1"/>
    <col min="4" max="4" width="16.75390625" style="0" customWidth="1"/>
    <col min="5" max="5" width="13.00390625" style="0" customWidth="1"/>
    <col min="6" max="6" width="12.875" style="0" customWidth="1"/>
    <col min="7" max="7" width="16.00390625" style="0" customWidth="1"/>
  </cols>
  <sheetData>
    <row r="1" spans="1:9" ht="15.75">
      <c r="A1" s="7" t="s">
        <v>0</v>
      </c>
      <c r="B1">
        <v>0.3</v>
      </c>
      <c r="D1" s="7" t="s">
        <v>12</v>
      </c>
      <c r="E1" s="3">
        <v>0.1</v>
      </c>
      <c r="I1" s="3"/>
    </row>
    <row r="2" spans="1:9" ht="15.75">
      <c r="A2" s="7" t="s">
        <v>1</v>
      </c>
      <c r="B2">
        <v>0.4</v>
      </c>
      <c r="D2" s="7" t="s">
        <v>13</v>
      </c>
      <c r="E2" s="3">
        <f>6.2832*(B6*B6-B1*B1)/(7.1416*B6*B6-6.2832*B1*B1)</f>
        <v>0.8728089021914682</v>
      </c>
      <c r="F2" t="s">
        <v>17</v>
      </c>
      <c r="G2">
        <v>2</v>
      </c>
      <c r="H2" s="3"/>
      <c r="I2" s="3"/>
    </row>
    <row r="3" spans="1:5" ht="14.25">
      <c r="A3" s="7" t="s">
        <v>2</v>
      </c>
      <c r="B3">
        <v>45</v>
      </c>
      <c r="D3" s="7" t="s">
        <v>7</v>
      </c>
      <c r="E3">
        <f>POWER(B9,E2)</f>
        <v>1.6822099787393843</v>
      </c>
    </row>
    <row r="4" spans="1:4" ht="14.25">
      <c r="A4" s="7" t="s">
        <v>3</v>
      </c>
      <c r="B4">
        <v>0.02</v>
      </c>
      <c r="D4" s="7"/>
    </row>
    <row r="5" spans="1:4" ht="15.75">
      <c r="A5" s="7" t="s">
        <v>4</v>
      </c>
      <c r="B5">
        <v>2.3</v>
      </c>
      <c r="C5" s="7"/>
      <c r="D5" s="9" t="s">
        <v>18</v>
      </c>
    </row>
    <row r="6" spans="1:7" ht="14.25">
      <c r="A6" s="7" t="s">
        <v>5</v>
      </c>
      <c r="B6">
        <v>1.2</v>
      </c>
      <c r="C6" s="6">
        <v>1</v>
      </c>
      <c r="D6" s="13">
        <v>1</v>
      </c>
      <c r="G6" s="8"/>
    </row>
    <row r="7" spans="1:4" ht="14.25">
      <c r="A7" s="7" t="s">
        <v>10</v>
      </c>
      <c r="B7">
        <v>1.1</v>
      </c>
      <c r="C7" s="6">
        <v>7</v>
      </c>
      <c r="D7" s="13">
        <v>0.939</v>
      </c>
    </row>
    <row r="8" spans="1:7" ht="14.25">
      <c r="A8" s="7" t="s">
        <v>9</v>
      </c>
      <c r="B8">
        <v>1.2</v>
      </c>
      <c r="C8" s="6">
        <v>12</v>
      </c>
      <c r="D8" s="13">
        <v>0.957</v>
      </c>
      <c r="G8" s="8"/>
    </row>
    <row r="9" spans="1:7" ht="15.75">
      <c r="A9" s="7" t="s">
        <v>8</v>
      </c>
      <c r="B9">
        <f>((B8*B8-B7*B7)*2.3+(B7*B7-B1*B1)*(100-B3)/100*2.3+(B7*B7-B1*B1)*B3/100*1)/((B8*B8-B7*B7)+(B7*B7-B1*B1))</f>
        <v>1.8146666666666664</v>
      </c>
      <c r="C9" s="6">
        <v>19</v>
      </c>
      <c r="D9" s="13">
        <v>0.97</v>
      </c>
      <c r="F9" t="s">
        <v>34</v>
      </c>
      <c r="G9" s="8">
        <f>(0.35/G2+0.65)*E14</f>
        <v>131.95189696413524</v>
      </c>
    </row>
    <row r="10" spans="1:7" ht="15.75">
      <c r="A10" s="7" t="s">
        <v>19</v>
      </c>
      <c r="B10">
        <v>0.939</v>
      </c>
      <c r="C10" s="6">
        <v>37</v>
      </c>
      <c r="D10" s="13">
        <v>0.979</v>
      </c>
      <c r="F10" t="s">
        <v>29</v>
      </c>
      <c r="G10" s="18">
        <f>((0.35/G2)+0.65)*B14</f>
        <v>131.42380996177496</v>
      </c>
    </row>
    <row r="11" spans="1:7" ht="14.25">
      <c r="A11" s="7" t="s">
        <v>6</v>
      </c>
      <c r="B11">
        <f>4.3*(B6*B6-B10*B10*B1*B1)/(5.4*B6*B6-3.1415926*B10*B10*B1*B1)</f>
        <v>0.7773359565939515</v>
      </c>
      <c r="C11" s="6">
        <v>61</v>
      </c>
      <c r="D11" s="13">
        <v>0.984</v>
      </c>
      <c r="F11" t="s">
        <v>30</v>
      </c>
      <c r="G11" s="8">
        <f>(0.65-0.3*EXP(-0.22*G2))*E14</f>
        <v>73.05961791989573</v>
      </c>
    </row>
    <row r="12" spans="1:7" ht="15.75">
      <c r="A12" s="7"/>
      <c r="C12" s="6"/>
      <c r="D12" s="13"/>
      <c r="F12" t="s">
        <v>32</v>
      </c>
      <c r="G12" s="8">
        <f>((1+0.0148*LN(G2))/(0.35/G2+0.65))*B18</f>
        <v>31.49972239069283</v>
      </c>
    </row>
    <row r="13" spans="1:7" ht="14.25">
      <c r="A13" s="7" t="s">
        <v>7</v>
      </c>
      <c r="B13">
        <f>POWER(B9,B11)</f>
        <v>1.589176397004291</v>
      </c>
      <c r="C13" s="6">
        <v>91</v>
      </c>
      <c r="D13" s="13">
        <v>0.988</v>
      </c>
      <c r="F13" t="s">
        <v>31</v>
      </c>
      <c r="G13">
        <f>((0.986+0.02*LN(G2))/(0.65-0.3*EXP(-0.22*G2)))*B20</f>
        <v>59.3031258579353</v>
      </c>
    </row>
    <row r="14" spans="1:9" ht="15.75">
      <c r="A14" s="7" t="s">
        <v>11</v>
      </c>
      <c r="B14" s="11">
        <f>276*LOG10(B6+SQRT(B6*B6-B10*B10*B1*B1)/(B10*B1))/SQRT(B13)</f>
        <v>159.30158783245452</v>
      </c>
      <c r="C14" s="7"/>
      <c r="D14" s="7" t="s">
        <v>14</v>
      </c>
      <c r="E14" s="10">
        <f>276*LOG10((1.2*B6+1.5*E1)/(B10*B1))/SQRT(E3)</f>
        <v>159.9416932898609</v>
      </c>
      <c r="F14" t="s">
        <v>33</v>
      </c>
      <c r="G14">
        <f>((0.986+0.02*LN(G2))/(0.65-0.3*EXP(-0.22*G2)))*B18</f>
        <v>56.30576897641475</v>
      </c>
      <c r="H14" s="5"/>
      <c r="I14" s="4"/>
    </row>
    <row r="15" spans="1:9" ht="14.25">
      <c r="A15" s="7" t="s">
        <v>16</v>
      </c>
      <c r="B15" s="12">
        <f>B14-10</f>
        <v>149.30158783245452</v>
      </c>
      <c r="C15" s="7"/>
      <c r="D15" s="7" t="s">
        <v>16</v>
      </c>
      <c r="E15" s="10">
        <f>E14-20</f>
        <v>139.9416932898609</v>
      </c>
      <c r="H15" s="5"/>
      <c r="I15" s="5"/>
    </row>
    <row r="17" ht="14.25">
      <c r="B17" s="8">
        <f>LOG10((B6+SQRT(B6*B6+B10*B1*B10*B1)/(B10*B1)))</f>
        <v>0.7462956536371352</v>
      </c>
    </row>
    <row r="18" spans="1:4" ht="15.75">
      <c r="A18" t="s">
        <v>27</v>
      </c>
      <c r="B18" s="17">
        <f>12.08*B13/B17</f>
        <v>25.723385607637407</v>
      </c>
      <c r="D18" s="7"/>
    </row>
    <row r="19" spans="2:5" ht="15.75">
      <c r="B19" s="17">
        <f>LOG10(1.2*B6/(B10*B1))</f>
        <v>0.7085756451094763</v>
      </c>
      <c r="C19" s="14"/>
      <c r="D19" s="15"/>
      <c r="E19" s="14"/>
    </row>
    <row r="20" spans="1:5" ht="14.25">
      <c r="A20" t="s">
        <v>28</v>
      </c>
      <c r="B20">
        <f>12.08*B13/B19</f>
        <v>27.092733158851125</v>
      </c>
      <c r="C20" s="14"/>
      <c r="D20" s="16"/>
      <c r="E20" s="15"/>
    </row>
    <row r="21" spans="1:5" ht="25.5">
      <c r="A21" s="1" t="s">
        <v>15</v>
      </c>
      <c r="B21" s="2"/>
      <c r="C21" s="2"/>
      <c r="D21" s="2"/>
      <c r="E21" s="15"/>
    </row>
    <row r="22" spans="1:5" ht="14.25">
      <c r="A22" s="14"/>
      <c r="B22" s="14"/>
      <c r="C22" s="14"/>
      <c r="D22" s="15"/>
      <c r="E22" s="14"/>
    </row>
    <row r="23" spans="1:5" ht="14.25">
      <c r="A23" s="14"/>
      <c r="B23" s="14"/>
      <c r="C23" s="14"/>
      <c r="D23" s="16"/>
      <c r="E23" s="15"/>
    </row>
    <row r="24" spans="1:5" ht="14.25">
      <c r="A24" s="14"/>
      <c r="B24" s="14"/>
      <c r="C24" s="14"/>
      <c r="D24" s="16"/>
      <c r="E24" s="15"/>
    </row>
    <row r="25" spans="1:5" ht="14.25">
      <c r="A25" s="14"/>
      <c r="B25" s="14"/>
      <c r="C25" s="14"/>
      <c r="D25" s="16"/>
      <c r="E25" s="15"/>
    </row>
    <row r="26" spans="1:5" ht="14.25">
      <c r="A26" s="14"/>
      <c r="B26" s="14"/>
      <c r="C26" s="14"/>
      <c r="D26" s="16"/>
      <c r="E26" s="15"/>
    </row>
    <row r="27" spans="1:5" ht="14.25">
      <c r="A27" s="14"/>
      <c r="B27" s="14"/>
      <c r="C27" s="14"/>
      <c r="D27" s="14"/>
      <c r="E27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7" sqref="A7"/>
    </sheetView>
  </sheetViews>
  <sheetFormatPr defaultColWidth="9.00390625" defaultRowHeight="14.25"/>
  <cols>
    <col min="1" max="1" width="27.00390625" style="0" customWidth="1"/>
  </cols>
  <sheetData>
    <row r="1" spans="1:2" ht="15.75">
      <c r="A1" s="7" t="s">
        <v>22</v>
      </c>
      <c r="B1">
        <f>POWER(10,15)</f>
        <v>1000000000000000</v>
      </c>
    </row>
    <row r="2" spans="1:2" ht="15.75">
      <c r="A2" s="7" t="s">
        <v>23</v>
      </c>
      <c r="B2" s="3">
        <v>0.3</v>
      </c>
    </row>
    <row r="3" spans="1:2" ht="15.75">
      <c r="A3" s="7" t="s">
        <v>24</v>
      </c>
      <c r="B3">
        <v>0.74</v>
      </c>
    </row>
    <row r="4" spans="1:2" ht="15.75">
      <c r="A4" s="7" t="s">
        <v>25</v>
      </c>
      <c r="B4">
        <v>100</v>
      </c>
    </row>
    <row r="5" spans="1:2" ht="14.25">
      <c r="A5" s="7" t="s">
        <v>26</v>
      </c>
      <c r="B5">
        <f>(0.366*LOG10(B3/B2))/B4</f>
        <v>0.0014351243019414084</v>
      </c>
    </row>
    <row r="6" ht="14.25">
      <c r="A6" s="7"/>
    </row>
    <row r="7" ht="14.25">
      <c r="A7" s="7"/>
    </row>
    <row r="8" ht="14.25">
      <c r="A8" s="7"/>
    </row>
    <row r="9" ht="14.25">
      <c r="A9" s="7"/>
    </row>
    <row r="10" ht="14.25">
      <c r="A10" s="7"/>
    </row>
    <row r="11" ht="14.25">
      <c r="A11" s="7"/>
    </row>
    <row r="12" ht="14.25">
      <c r="A12" s="7"/>
    </row>
    <row r="13" ht="14.25">
      <c r="A13" s="7"/>
    </row>
    <row r="14" ht="14.25">
      <c r="A14" s="7"/>
    </row>
    <row r="15" ht="14.25">
      <c r="A15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7.125" style="0" customWidth="1"/>
    <col min="4" max="4" width="24.375" style="0" customWidth="1"/>
    <col min="8" max="8" width="20.25390625" style="0" customWidth="1"/>
    <col min="10" max="10" width="19.125" style="0" customWidth="1"/>
    <col min="14" max="14" width="20.375" style="0" customWidth="1"/>
    <col min="15" max="15" width="12.125" style="0" customWidth="1"/>
    <col min="17" max="17" width="19.25390625" style="0" customWidth="1"/>
    <col min="18" max="18" width="10.75390625" style="0" customWidth="1"/>
  </cols>
  <sheetData>
    <row r="1" spans="1:18" ht="15.75">
      <c r="A1" s="25" t="s">
        <v>20</v>
      </c>
      <c r="B1" s="26">
        <v>2.33</v>
      </c>
      <c r="D1" s="28" t="s">
        <v>43</v>
      </c>
      <c r="E1" s="29">
        <v>1.3</v>
      </c>
      <c r="H1" s="33" t="s">
        <v>20</v>
      </c>
      <c r="I1" s="32">
        <v>2.33</v>
      </c>
      <c r="J1" s="14"/>
      <c r="K1" s="14"/>
      <c r="N1" s="33" t="s">
        <v>20</v>
      </c>
      <c r="O1" s="14"/>
      <c r="P1" s="31">
        <v>2</v>
      </c>
      <c r="Q1" s="14"/>
      <c r="R1" s="14"/>
    </row>
    <row r="2" spans="1:18" ht="15.75">
      <c r="A2" s="25" t="s">
        <v>38</v>
      </c>
      <c r="B2" s="26">
        <v>0.73</v>
      </c>
      <c r="D2" s="28" t="s">
        <v>44</v>
      </c>
      <c r="E2" s="29">
        <v>2.1</v>
      </c>
      <c r="H2" s="33" t="s">
        <v>38</v>
      </c>
      <c r="I2" s="31">
        <v>0.15</v>
      </c>
      <c r="J2" s="14"/>
      <c r="K2" s="14"/>
      <c r="N2" s="33" t="s">
        <v>38</v>
      </c>
      <c r="O2" s="14"/>
      <c r="P2" s="31">
        <v>0.195</v>
      </c>
      <c r="Q2" s="14"/>
      <c r="R2" s="14"/>
    </row>
    <row r="3" spans="1:18" ht="14.25">
      <c r="A3" s="25" t="s">
        <v>2</v>
      </c>
      <c r="B3" s="26">
        <v>45</v>
      </c>
      <c r="D3" s="28" t="s">
        <v>40</v>
      </c>
      <c r="E3" s="29">
        <v>400</v>
      </c>
      <c r="H3" s="33" t="s">
        <v>2</v>
      </c>
      <c r="I3" s="31">
        <v>35</v>
      </c>
      <c r="J3" s="33" t="s">
        <v>54</v>
      </c>
      <c r="K3" s="31">
        <f>I5+2*I2</f>
        <v>0.69</v>
      </c>
      <c r="N3" s="33" t="s">
        <v>2</v>
      </c>
      <c r="O3" s="14"/>
      <c r="P3" s="31">
        <v>0</v>
      </c>
      <c r="Q3" s="14"/>
      <c r="R3" s="14"/>
    </row>
    <row r="4" spans="1:18" ht="14.25">
      <c r="A4" s="25" t="s">
        <v>3</v>
      </c>
      <c r="B4" s="26">
        <v>0.02</v>
      </c>
      <c r="D4" s="28" t="s">
        <v>41</v>
      </c>
      <c r="E4" s="29">
        <v>0.017241</v>
      </c>
      <c r="H4" s="33" t="s">
        <v>3</v>
      </c>
      <c r="I4" s="31">
        <v>0.02</v>
      </c>
      <c r="J4" s="33" t="s">
        <v>55</v>
      </c>
      <c r="K4" s="31">
        <f>(((I5+2*I2)^2-I5^2)*I3/100+((I5+2*I2)^2-I5^2)*(100-I3)*I1/100)/((I5+2*I2)^2-I5^2)</f>
        <v>1.8645000000000003</v>
      </c>
      <c r="N4" s="33" t="s">
        <v>3</v>
      </c>
      <c r="O4" s="14"/>
      <c r="P4" s="31">
        <v>0</v>
      </c>
      <c r="Q4" s="14"/>
      <c r="R4" s="14"/>
    </row>
    <row r="5" spans="1:19" ht="15.75">
      <c r="A5" s="25" t="s">
        <v>36</v>
      </c>
      <c r="B5" s="26">
        <v>0.4</v>
      </c>
      <c r="D5" s="28" t="s">
        <v>42</v>
      </c>
      <c r="E5" s="29">
        <v>0.017241</v>
      </c>
      <c r="H5" s="33" t="s">
        <v>53</v>
      </c>
      <c r="I5" s="31">
        <v>0.39</v>
      </c>
      <c r="J5" s="33" t="s">
        <v>59</v>
      </c>
      <c r="K5" s="31">
        <f>((I7^2-(I5+2*I2)*(I5+2*I2))*I1+((I5+2*I2)*(I5+2*I2)-I5*I5)*K4)/(I7*I7-I5*I5)</f>
        <v>1.933933823529412</v>
      </c>
      <c r="N5" s="33" t="s">
        <v>53</v>
      </c>
      <c r="O5" s="14"/>
      <c r="P5" s="31">
        <v>0.78</v>
      </c>
      <c r="Q5" s="33" t="s">
        <v>54</v>
      </c>
      <c r="R5" s="41">
        <f>P5+2*P2</f>
        <v>1.17</v>
      </c>
      <c r="S5" s="4"/>
    </row>
    <row r="6" spans="1:18" ht="14.25">
      <c r="A6" s="25" t="s">
        <v>35</v>
      </c>
      <c r="B6" s="26">
        <v>0.979</v>
      </c>
      <c r="D6" s="28" t="s">
        <v>52</v>
      </c>
      <c r="E6" s="29">
        <v>0.0002</v>
      </c>
      <c r="H6" s="33" t="s">
        <v>35</v>
      </c>
      <c r="I6" s="31">
        <v>0.939</v>
      </c>
      <c r="J6" s="33" t="s">
        <v>56</v>
      </c>
      <c r="K6" s="31">
        <f>(4.3*(I8*I8-I6*I6*I5*I5))/(5.4*I8*I8-3.1415926*I6*I6*I5*I5)</f>
        <v>0.6981105170415371</v>
      </c>
      <c r="N6" s="33" t="s">
        <v>35</v>
      </c>
      <c r="O6" s="14"/>
      <c r="P6" s="31">
        <v>0.939</v>
      </c>
      <c r="Q6" s="33" t="s">
        <v>55</v>
      </c>
      <c r="R6" s="31">
        <f>(((P5+2*P2)*(P5+2*P2)-P5*P5)*P3/100+((P5+2*P2)*(P5+2*P2)-P5*P5)*(100-P3)*P1/100)/((P5+2*P2)*(P5+2*P2)-P5*P5)</f>
        <v>2</v>
      </c>
    </row>
    <row r="7" spans="1:18" ht="14.25">
      <c r="A7" s="25" t="s">
        <v>21</v>
      </c>
      <c r="B7" s="26">
        <v>1.8</v>
      </c>
      <c r="D7" s="28"/>
      <c r="E7" s="29"/>
      <c r="H7" s="33" t="s">
        <v>21</v>
      </c>
      <c r="I7" s="31">
        <f>I2*2+I4*2+I5</f>
        <v>0.73</v>
      </c>
      <c r="J7" s="33" t="s">
        <v>7</v>
      </c>
      <c r="K7" s="31">
        <f>POWER(K5,K6)</f>
        <v>1.5847760518916862</v>
      </c>
      <c r="N7" s="33" t="s">
        <v>21</v>
      </c>
      <c r="O7" s="14"/>
      <c r="P7" s="31">
        <f>P5+2*(P2+P4)</f>
        <v>1.17</v>
      </c>
      <c r="Q7" s="33" t="s">
        <v>59</v>
      </c>
      <c r="R7" s="31">
        <f>((P7*P7-(P5+2*P2)*(P5+2*P2))*P1+((P5+2*P2)*(P5+2*P2)-P5*P5)*R6)/(P7*P7-P5*P5)</f>
        <v>2</v>
      </c>
    </row>
    <row r="8" spans="1:18" ht="15.75">
      <c r="A8" s="27" t="s">
        <v>80</v>
      </c>
      <c r="B8" s="26">
        <f>((B7^2-(B5+2*B2)^2+((B5+2*B2)^2-B5^2)*(100-B3)/100))/(B7^2-B5^2)</f>
        <v>0.5179155844155846</v>
      </c>
      <c r="D8" s="28"/>
      <c r="E8" s="29"/>
      <c r="H8" s="33" t="s">
        <v>57</v>
      </c>
      <c r="I8" s="31">
        <f>I7</f>
        <v>0.73</v>
      </c>
      <c r="J8" s="33" t="s">
        <v>78</v>
      </c>
      <c r="K8" s="31">
        <f>3.3356*SQRT(K7)</f>
        <v>4.1991164151557</v>
      </c>
      <c r="N8" s="33" t="s">
        <v>57</v>
      </c>
      <c r="O8" s="14"/>
      <c r="P8" s="31">
        <f>P5+2*(P2+P4)</f>
        <v>1.17</v>
      </c>
      <c r="Q8" s="33" t="s">
        <v>56</v>
      </c>
      <c r="R8" s="31">
        <f>6.2832*(P8*P8-P5*P5)/(7.1416*P8*P8-6.2832*P5*P5)</f>
        <v>0.8026243178613035</v>
      </c>
    </row>
    <row r="9" spans="1:18" ht="15.75">
      <c r="A9" s="25" t="s">
        <v>7</v>
      </c>
      <c r="B9" s="26">
        <f>POWER(B1,B8)</f>
        <v>1.5497418336776847</v>
      </c>
      <c r="D9" s="28"/>
      <c r="E9" s="29"/>
      <c r="H9" s="33"/>
      <c r="I9" s="31"/>
      <c r="J9" s="33" t="s">
        <v>58</v>
      </c>
      <c r="K9" s="31">
        <f>12.08*K7/(LOG10((I8+SQRT(I8*I8-I6*I6*I5*I5))/(I6*I5)))</f>
        <v>33.569232330599434</v>
      </c>
      <c r="N9" s="33" t="s">
        <v>67</v>
      </c>
      <c r="O9" s="14"/>
      <c r="P9" s="31">
        <v>0.1</v>
      </c>
      <c r="Q9" s="33" t="s">
        <v>7</v>
      </c>
      <c r="R9" s="31">
        <f>POWER(R7,R8)</f>
        <v>1.7442711389331589</v>
      </c>
    </row>
    <row r="10" spans="1:18" ht="15.75">
      <c r="A10" s="25" t="s">
        <v>37</v>
      </c>
      <c r="B10" s="26">
        <v>0</v>
      </c>
      <c r="D10" s="28"/>
      <c r="E10" s="29"/>
      <c r="H10" s="33"/>
      <c r="I10" s="31"/>
      <c r="J10" s="33" t="s">
        <v>11</v>
      </c>
      <c r="K10" s="31">
        <f>276*LOG10((I8+SQRT(I8*I8-I6*I6*I5*I5))/(I6*I5))/SQRT(K7)</f>
        <v>125.03124521622502</v>
      </c>
      <c r="N10" s="42"/>
      <c r="O10" s="14"/>
      <c r="P10" s="14"/>
      <c r="Q10" s="33" t="s">
        <v>79</v>
      </c>
      <c r="R10" s="31">
        <f>3.3356*SQRT(R9)</f>
        <v>4.405355521323616</v>
      </c>
    </row>
    <row r="11" spans="1:18" ht="15.75">
      <c r="A11" s="25" t="s">
        <v>39</v>
      </c>
      <c r="B11" s="26">
        <f>(24.16*B9)/LOG10((B7+1.5*B10)/(B6*B5))</f>
        <v>56.52185553811591</v>
      </c>
      <c r="D11" s="28" t="s">
        <v>51</v>
      </c>
      <c r="E11" s="30">
        <f>0.0686*(((0.00287*SQRT(B9*E3)/LOG10(B5/(B6*B7))*(E1*SQRT(E4))/B7+(E2*SQRT(E5)/B5))+0.000147*SQRT(B9)*E3*E6))</f>
        <v>0.04656866556768378</v>
      </c>
      <c r="H11" s="33" t="s">
        <v>60</v>
      </c>
      <c r="I11" s="31">
        <v>0.017241</v>
      </c>
      <c r="J11" s="33"/>
      <c r="K11" s="34"/>
      <c r="N11" s="14"/>
      <c r="O11" s="14"/>
      <c r="P11" s="14"/>
      <c r="Q11" s="33" t="s">
        <v>58</v>
      </c>
      <c r="R11" s="31">
        <f>12.08*R9/LOG10(1.2*P8/(P6*P5))</f>
        <v>74.55866930775</v>
      </c>
    </row>
    <row r="12" spans="8:18" ht="15.75">
      <c r="H12" s="33" t="s">
        <v>61</v>
      </c>
      <c r="I12" s="31">
        <v>50</v>
      </c>
      <c r="J12" s="33"/>
      <c r="K12" s="31">
        <f>K10*(I6*I5-31.83*SQRT((2.5*I11)/(I12*I13)))*SQRT((2.5*I11)/(I12*I13))</f>
        <v>0.058641060473630484</v>
      </c>
      <c r="N12" s="14"/>
      <c r="O12" s="14"/>
      <c r="P12" s="14"/>
      <c r="Q12" s="33" t="s">
        <v>11</v>
      </c>
      <c r="R12" s="32">
        <f>276*LOG10((1.2*P8+1.5*P9)/(P6*P5))/SQRT(R9)</f>
        <v>68.27143241187466</v>
      </c>
    </row>
    <row r="13" spans="2:18" ht="15.75">
      <c r="B13" s="31" t="s">
        <v>45</v>
      </c>
      <c r="C13" s="31"/>
      <c r="D13" s="31" t="s">
        <v>46</v>
      </c>
      <c r="E13" s="31"/>
      <c r="F13" s="31"/>
      <c r="H13" s="33" t="s">
        <v>62</v>
      </c>
      <c r="I13" s="31">
        <v>400</v>
      </c>
      <c r="J13" s="33" t="s">
        <v>63</v>
      </c>
      <c r="K13" s="31">
        <f>8.686*(200*I11/K12+0.01047*SQRT(K7*I12)*I13*I14)/100</f>
        <v>5.108172109411832</v>
      </c>
      <c r="N13" s="14"/>
      <c r="O13" s="14"/>
      <c r="P13" s="14"/>
      <c r="Q13" s="14"/>
      <c r="R13" s="14"/>
    </row>
    <row r="14" spans="2:18" ht="22.5">
      <c r="B14" s="31"/>
      <c r="C14" s="31">
        <v>1</v>
      </c>
      <c r="D14" s="32" t="s">
        <v>50</v>
      </c>
      <c r="E14" s="31">
        <v>37</v>
      </c>
      <c r="F14" s="31">
        <v>61</v>
      </c>
      <c r="H14" s="33" t="s">
        <v>64</v>
      </c>
      <c r="I14" s="31">
        <v>0.0002</v>
      </c>
      <c r="J14" s="14"/>
      <c r="K14" s="14"/>
      <c r="N14" s="43" t="s">
        <v>68</v>
      </c>
      <c r="O14" s="44"/>
      <c r="P14" s="44"/>
      <c r="Q14" s="44"/>
      <c r="R14" s="14"/>
    </row>
    <row r="15" spans="2:6" ht="15.75">
      <c r="B15" s="32" t="s">
        <v>48</v>
      </c>
      <c r="C15" s="31">
        <v>1</v>
      </c>
      <c r="D15" s="32" t="s">
        <v>49</v>
      </c>
      <c r="E15" s="31">
        <v>0.979</v>
      </c>
      <c r="F15" s="31">
        <v>0.984</v>
      </c>
    </row>
    <row r="16" spans="2:6" ht="15.75">
      <c r="B16" s="32" t="s">
        <v>47</v>
      </c>
      <c r="C16" s="31">
        <v>1</v>
      </c>
      <c r="D16" s="31">
        <v>1.3</v>
      </c>
      <c r="E16" s="31">
        <v>1.3</v>
      </c>
      <c r="F16" s="31">
        <v>1.3</v>
      </c>
    </row>
    <row r="18" spans="2:11" ht="22.5">
      <c r="B18" s="19" t="s">
        <v>65</v>
      </c>
      <c r="C18" s="20"/>
      <c r="D18" s="20"/>
      <c r="H18" s="35" t="s">
        <v>66</v>
      </c>
      <c r="I18" s="36"/>
      <c r="J18" s="36"/>
      <c r="K18" s="14"/>
    </row>
    <row r="19" spans="8:15" ht="14.25">
      <c r="H19" s="33" t="s">
        <v>71</v>
      </c>
      <c r="I19" s="31">
        <v>2</v>
      </c>
      <c r="J19" s="14"/>
      <c r="K19" s="14"/>
      <c r="N19" t="s">
        <v>17</v>
      </c>
      <c r="O19">
        <v>2</v>
      </c>
    </row>
    <row r="20" spans="8:15" ht="15.75">
      <c r="H20" s="33" t="s">
        <v>70</v>
      </c>
      <c r="I20" s="31">
        <f>((1+0.0148*LN(I19))/(0.35/I19+0.65))*K9</f>
        <v>41.1073999127315</v>
      </c>
      <c r="J20" s="14"/>
      <c r="K20" s="14"/>
      <c r="N20" t="s">
        <v>69</v>
      </c>
      <c r="O20">
        <f>(0.986+0.02*LN(O19))/(0.65-0.3*EXP(-0.22*19))*R11</f>
        <v>115.5054908515664</v>
      </c>
    </row>
    <row r="21" spans="8:15" ht="14.25">
      <c r="H21" s="33" t="s">
        <v>11</v>
      </c>
      <c r="I21" s="31">
        <f>(0.35/I19+0.65)*K10</f>
        <v>103.15077730338564</v>
      </c>
      <c r="J21" s="14"/>
      <c r="K21" s="14"/>
      <c r="N21" t="s">
        <v>72</v>
      </c>
      <c r="O21">
        <f>(0.65-0.3*EXP(-0.22*O19))*R12</f>
        <v>31.185644369889527</v>
      </c>
    </row>
    <row r="22" spans="8:11" ht="14.25">
      <c r="H22" s="14"/>
      <c r="I22" s="14"/>
      <c r="J22" s="14"/>
      <c r="K22" s="14"/>
    </row>
    <row r="23" spans="8:17" ht="22.5">
      <c r="H23" s="37" t="s">
        <v>75</v>
      </c>
      <c r="I23" s="38"/>
      <c r="J23" s="38"/>
      <c r="K23" s="14"/>
      <c r="N23" s="21" t="s">
        <v>74</v>
      </c>
      <c r="O23" s="22"/>
      <c r="P23" s="22"/>
      <c r="Q23" s="22"/>
    </row>
    <row r="24" spans="8:15" ht="14.25">
      <c r="H24" s="36" t="s">
        <v>71</v>
      </c>
      <c r="I24" s="31">
        <v>6</v>
      </c>
      <c r="J24" s="14"/>
      <c r="K24" s="14"/>
      <c r="N24" t="s">
        <v>17</v>
      </c>
      <c r="O24">
        <v>2</v>
      </c>
    </row>
    <row r="25" spans="8:15" ht="14.25">
      <c r="H25" s="36" t="s">
        <v>69</v>
      </c>
      <c r="I25" s="31">
        <f>(0.986+0.02*LN(I24))/(0.65-0.3*EXP(-0.22*I24))*K9</f>
        <v>60.19418528428307</v>
      </c>
      <c r="J25" s="14"/>
      <c r="K25" s="14"/>
      <c r="N25" t="s">
        <v>73</v>
      </c>
      <c r="O25">
        <f>(1+0.0148*LN(O24))/(0.35/O24+0.65)*R11</f>
        <v>91.3012548517832</v>
      </c>
    </row>
    <row r="26" spans="8:15" ht="14.25">
      <c r="H26" s="36" t="s">
        <v>11</v>
      </c>
      <c r="I26" s="31">
        <f>(0.65-0.3*EXP(-0.22*I24))*K10</f>
        <v>71.2502315567455</v>
      </c>
      <c r="J26" s="14"/>
      <c r="K26" s="14"/>
      <c r="N26" t="s">
        <v>11</v>
      </c>
      <c r="O26">
        <f>(0.35/O24+0.65)*R12</f>
        <v>56.323931739796585</v>
      </c>
    </row>
    <row r="27" spans="8:11" ht="14.25">
      <c r="H27" s="14"/>
      <c r="I27" s="14"/>
      <c r="J27" s="14"/>
      <c r="K27" s="14"/>
    </row>
    <row r="28" spans="8:17" ht="22.5">
      <c r="H28" s="39" t="s">
        <v>76</v>
      </c>
      <c r="I28" s="40"/>
      <c r="J28" s="40"/>
      <c r="K28" s="40"/>
      <c r="N28" s="24" t="s">
        <v>77</v>
      </c>
      <c r="O28" s="23"/>
      <c r="P28" s="23"/>
      <c r="Q28" s="2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sb</cp:lastModifiedBy>
  <dcterms:created xsi:type="dcterms:W3CDTF">2001-06-27T06:04:24Z</dcterms:created>
  <dcterms:modified xsi:type="dcterms:W3CDTF">2004-10-14T02:04:00Z</dcterms:modified>
  <cp:category/>
  <cp:version/>
  <cp:contentType/>
  <cp:contentStatus/>
</cp:coreProperties>
</file>