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4530" windowWidth="12120" windowHeight="4575" tabRatio="453" activeTab="0"/>
  </bookViews>
  <sheets>
    <sheet name="Single Output Discontinuous" sheetId="1" r:id="rId1"/>
    <sheet name="Results" sheetId="2" r:id="rId2"/>
  </sheets>
  <definedNames>
    <definedName name="_xlnm.Print_Area" localSheetId="0">'Single Output Discontinuous'!$1:$89</definedName>
  </definedNames>
  <calcPr fullCalcOnLoad="1"/>
</workbook>
</file>

<file path=xl/comments1.xml><?xml version="1.0" encoding="utf-8"?>
<comments xmlns="http://schemas.openxmlformats.org/spreadsheetml/2006/main">
  <authors>
    <author>r37367</author>
    <author>Hector Ng</author>
  </authors>
  <commentList>
    <comment ref="B4" authorId="0">
      <text>
        <r>
          <rPr>
            <sz val="8"/>
            <rFont val="Tahoma"/>
            <family val="2"/>
          </rPr>
          <t xml:space="preserve">Enter maximum AC voltage in volt
</t>
        </r>
      </text>
    </comment>
    <comment ref="B5" authorId="0">
      <text>
        <r>
          <rPr>
            <sz val="8"/>
            <rFont val="Tahoma"/>
            <family val="2"/>
          </rPr>
          <t>Enter minimum AC voltage in volt</t>
        </r>
      </text>
    </comment>
    <comment ref="B6" authorId="0">
      <text>
        <r>
          <rPr>
            <sz val="8"/>
            <rFont val="Tahoma"/>
            <family val="2"/>
          </rPr>
          <t>Enter AC line frequency in Hz</t>
        </r>
      </text>
    </comment>
    <comment ref="B11" authorId="0">
      <text>
        <r>
          <rPr>
            <sz val="8"/>
            <rFont val="Tahoma"/>
            <family val="2"/>
          </rPr>
          <t>Enter output voltage in volt</t>
        </r>
      </text>
    </comment>
    <comment ref="B12" authorId="0">
      <text>
        <r>
          <rPr>
            <sz val="8"/>
            <rFont val="Tahoma"/>
            <family val="2"/>
          </rPr>
          <t>Enter output current in ampere</t>
        </r>
      </text>
    </comment>
    <comment ref="B13" authorId="0">
      <text>
        <r>
          <rPr>
            <sz val="8"/>
            <rFont val="Tahoma"/>
            <family val="2"/>
          </rPr>
          <t>Enter system efficiency in percent.  If the efficiency is unknown, enter 80%.</t>
        </r>
      </text>
    </comment>
    <comment ref="B15" authorId="0">
      <text>
        <r>
          <rPr>
            <sz val="8"/>
            <rFont val="Tahoma"/>
            <family val="2"/>
          </rPr>
          <t>Enter output diode voltage drop.  Enter 1V if ultrafast diode is used.  Enter 0.8V if schottky diode is used.</t>
        </r>
      </text>
    </comment>
    <comment ref="B39" authorId="1">
      <text>
        <r>
          <rPr>
            <sz val="8"/>
            <rFont val="Tahoma"/>
            <family val="2"/>
          </rPr>
          <t xml:space="preserve">Enter input filter capacitor value in </t>
        </r>
        <r>
          <rPr>
            <sz val="8"/>
            <rFont val="Symbol"/>
            <family val="1"/>
          </rPr>
          <t>m</t>
        </r>
        <r>
          <rPr>
            <sz val="8"/>
            <rFont val="Tahoma"/>
            <family val="2"/>
          </rPr>
          <t>F.  A recommended value is shown in cell B38.</t>
        </r>
      </text>
    </comment>
    <comment ref="B55" authorId="1">
      <text>
        <r>
          <rPr>
            <sz val="8"/>
            <rFont val="Tahoma"/>
            <family val="2"/>
          </rPr>
          <t>Enter current density of the transformer winding in A/mm</t>
        </r>
        <r>
          <rPr>
            <vertAlign val="superscript"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>.  Enter 3 ~ 5A/mm</t>
        </r>
        <r>
          <rPr>
            <vertAlign val="superscript"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for natural cooling system and 4 ~ 7A/mm</t>
        </r>
        <r>
          <rPr>
            <vertAlign val="superscript"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for fan cooled system.  </t>
        </r>
      </text>
    </comment>
    <comment ref="B58" authorId="1">
      <text>
        <r>
          <rPr>
            <sz val="8"/>
            <rFont val="Tahoma"/>
            <family val="2"/>
          </rPr>
          <t xml:space="preserve">Flux density safety factor determines the magnetising level of the transformer core. Enter a value from 0.3 to 0.5. </t>
        </r>
      </text>
    </comment>
    <comment ref="B59" authorId="1">
      <text>
        <r>
          <rPr>
            <sz val="8"/>
            <rFont val="Tahoma"/>
            <family val="2"/>
          </rPr>
          <t xml:space="preserve">Bobbin usage factor accounts for wasted space inside transfomrer bobbin.  Enter a value from 0.3 to 0.5. </t>
        </r>
      </text>
    </comment>
    <comment ref="B62" authorId="1">
      <text>
        <r>
          <rPr>
            <sz val="8"/>
            <rFont val="Tahoma"/>
            <family val="2"/>
          </rPr>
          <t>Enter effective area of the magnetic core in mm</t>
        </r>
        <r>
          <rPr>
            <vertAlign val="superscript"/>
            <sz val="8"/>
            <rFont val="Tahoma"/>
            <family val="2"/>
          </rPr>
          <t>2</t>
        </r>
      </text>
    </comment>
    <comment ref="B63" authorId="1">
      <text>
        <r>
          <rPr>
            <sz val="8"/>
            <rFont val="Tahoma"/>
            <family val="2"/>
          </rPr>
          <t>Enter saturation magnetic flux density of core material at 25</t>
        </r>
        <r>
          <rPr>
            <vertAlign val="superscript"/>
            <sz val="8"/>
            <rFont val="Tahoma"/>
            <family val="2"/>
          </rPr>
          <t>o</t>
        </r>
        <r>
          <rPr>
            <sz val="8"/>
            <rFont val="Tahoma"/>
            <family val="2"/>
          </rPr>
          <t>C in Tesla.</t>
        </r>
        <r>
          <rPr>
            <sz val="8"/>
            <rFont val="Tahoma"/>
            <family val="2"/>
          </rPr>
          <t xml:space="preserve">
</t>
        </r>
      </text>
    </comment>
    <comment ref="B64" authorId="1">
      <text>
        <r>
          <rPr>
            <sz val="8"/>
            <rFont val="Tahoma"/>
            <family val="2"/>
          </rPr>
          <t>Enter bobbin window area in mm</t>
        </r>
        <r>
          <rPr>
            <vertAlign val="superscript"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>.</t>
        </r>
        <r>
          <rPr>
            <sz val="8"/>
            <rFont val="Tahoma"/>
            <family val="2"/>
          </rPr>
          <t xml:space="preserve">
</t>
        </r>
      </text>
    </comment>
    <comment ref="B49" authorId="1">
      <text>
        <r>
          <rPr>
            <sz val="8"/>
            <rFont val="Tahoma"/>
            <family val="2"/>
          </rPr>
          <t>Number of primary winding needed to connect in parallel.</t>
        </r>
      </text>
    </comment>
    <comment ref="B50" authorId="1">
      <text>
        <r>
          <rPr>
            <sz val="8"/>
            <rFont val="Tahoma"/>
            <family val="2"/>
          </rPr>
          <t>Number of secondary winding needed to connect in parallel.</t>
        </r>
      </text>
    </comment>
    <comment ref="B52" authorId="1">
      <text>
        <r>
          <rPr>
            <sz val="8"/>
            <rFont val="Tahoma"/>
            <family val="2"/>
          </rPr>
          <t>Suitable wire size for primary winding.</t>
        </r>
      </text>
    </comment>
    <comment ref="B53" authorId="1">
      <text>
        <r>
          <rPr>
            <sz val="8"/>
            <rFont val="Tahoma"/>
            <family val="2"/>
          </rPr>
          <t>Suitable wire size for secondary winding.</t>
        </r>
      </text>
    </comment>
    <comment ref="B67" authorId="1">
      <text>
        <r>
          <rPr>
            <sz val="8"/>
            <rFont val="Tahoma"/>
            <family val="2"/>
          </rPr>
          <t>Air gap length for centre limb.  If air gap is created in side limbs, this value has to be divided by 2.</t>
        </r>
        <r>
          <rPr>
            <sz val="8"/>
            <rFont val="Tahoma"/>
            <family val="2"/>
          </rPr>
          <t xml:space="preserve">
</t>
        </r>
      </text>
    </comment>
    <comment ref="C67" authorId="1">
      <text>
        <r>
          <rPr>
            <sz val="8"/>
            <rFont val="Tahoma"/>
            <family val="2"/>
          </rPr>
          <t>Air gap length for centre limb.  If air gap is created in side limbs, this value has to be divided by 2.</t>
        </r>
        <r>
          <rPr>
            <sz val="8"/>
            <rFont val="Tahoma"/>
            <family val="2"/>
          </rPr>
          <t xml:space="preserve">
</t>
        </r>
      </text>
    </comment>
    <comment ref="D67" authorId="1">
      <text>
        <r>
          <rPr>
            <sz val="8"/>
            <rFont val="Tahoma"/>
            <family val="2"/>
          </rPr>
          <t>Air gap length for centre limb.  If air gap is created in side limbs, this value has to be divided by 2.</t>
        </r>
        <r>
          <rPr>
            <sz val="8"/>
            <rFont val="Tahoma"/>
            <family val="2"/>
          </rPr>
          <t xml:space="preserve">
</t>
        </r>
      </text>
    </comment>
    <comment ref="E67" authorId="1">
      <text>
        <r>
          <rPr>
            <sz val="8"/>
            <rFont val="Tahoma"/>
            <family val="2"/>
          </rPr>
          <t>Air gap length for centre limb.  If air gap is created in side limbs, this value has to be divided by 2.</t>
        </r>
        <r>
          <rPr>
            <sz val="8"/>
            <rFont val="Tahoma"/>
            <family val="2"/>
          </rPr>
          <t xml:space="preserve">
</t>
        </r>
      </text>
    </comment>
    <comment ref="F67" authorId="1">
      <text>
        <r>
          <rPr>
            <sz val="8"/>
            <rFont val="Tahoma"/>
            <family val="2"/>
          </rPr>
          <t>Air gap length for centre limb.  If air gap is created in side limbs, this value has to be divided by 2.</t>
        </r>
        <r>
          <rPr>
            <sz val="8"/>
            <rFont val="Tahoma"/>
            <family val="2"/>
          </rPr>
          <t xml:space="preserve">
</t>
        </r>
      </text>
    </comment>
    <comment ref="B69" authorId="1">
      <text>
        <r>
          <rPr>
            <sz val="8"/>
            <rFont val="Tahoma"/>
            <family val="2"/>
          </rPr>
          <t>Number of turns for primary winding.</t>
        </r>
      </text>
    </comment>
    <comment ref="B70" authorId="1">
      <text>
        <r>
          <rPr>
            <sz val="8"/>
            <rFont val="Tahoma"/>
            <family val="2"/>
          </rPr>
          <t>Number of turns for secondary winding.</t>
        </r>
      </text>
    </comment>
    <comment ref="B79" authorId="1">
      <text>
        <r>
          <rPr>
            <sz val="8"/>
            <rFont val="Tahoma"/>
            <family val="2"/>
          </rPr>
          <t xml:space="preserve">"OK" : Bobbin is big enough  </t>
        </r>
        <r>
          <rPr>
            <sz val="8"/>
            <rFont val="Tahoma"/>
            <family val="2"/>
          </rPr>
          <t xml:space="preserve">
"Not OK" : Bobbin is too small
Reference data only. Consult transformer vendor for a conclusive answer.</t>
        </r>
      </text>
    </comment>
    <comment ref="B14" authorId="1">
      <text>
        <r>
          <rPr>
            <sz val="8"/>
            <rFont val="Tahoma"/>
            <family val="2"/>
          </rPr>
          <t>Enter external power MOSFET breakdown voltage in volt.</t>
        </r>
      </text>
    </comment>
    <comment ref="B38" authorId="1">
      <text>
        <r>
          <rPr>
            <sz val="8"/>
            <rFont val="Tahoma"/>
            <family val="2"/>
          </rPr>
          <t xml:space="preserve">Input filter capacitor value that causes 20% ripple.
</t>
        </r>
      </text>
    </comment>
    <comment ref="B34" authorId="1">
      <text>
        <r>
          <rPr>
            <sz val="8"/>
            <rFont val="Tahoma"/>
            <family val="2"/>
          </rPr>
          <t>Input RDS(on) of the power MOSFET in ohm.</t>
        </r>
      </text>
    </comment>
    <comment ref="D61" authorId="1">
      <text>
        <r>
          <rPr>
            <sz val="8"/>
            <rFont val="Tahoma"/>
            <family val="2"/>
          </rPr>
          <t>Enter magnetic core name.  Optional data, for identification purpose only.</t>
        </r>
      </text>
    </comment>
    <comment ref="E61" authorId="1">
      <text>
        <r>
          <rPr>
            <sz val="8"/>
            <rFont val="Tahoma"/>
            <family val="2"/>
          </rPr>
          <t>Enter magnetic core name.  Optional data, for identification purpose only.</t>
        </r>
      </text>
    </comment>
    <comment ref="F61" authorId="1">
      <text>
        <r>
          <rPr>
            <sz val="8"/>
            <rFont val="Tahoma"/>
            <family val="2"/>
          </rPr>
          <t>Enter magnetic core name.  Optional data, for identification purpose only.</t>
        </r>
      </text>
    </comment>
    <comment ref="B82" authorId="0">
      <text>
        <r>
          <rPr>
            <sz val="8"/>
            <rFont val="Tahoma"/>
            <family val="2"/>
          </rPr>
          <t>Enter tolerance of primary inductance in percent.</t>
        </r>
      </text>
    </comment>
    <comment ref="B61" authorId="1">
      <text>
        <r>
          <rPr>
            <sz val="8"/>
            <rFont val="Tahoma"/>
            <family val="2"/>
          </rPr>
          <t>Enter magnetic core name.  Optional data, for identification purpose only.</t>
        </r>
      </text>
    </comment>
    <comment ref="C61" authorId="1">
      <text>
        <r>
          <rPr>
            <sz val="8"/>
            <rFont val="Tahoma"/>
            <family val="2"/>
          </rPr>
          <t>Enter magnetic core name.  Optional data, for identification purpose only.</t>
        </r>
      </text>
    </comment>
    <comment ref="B86" authorId="1">
      <text>
        <r>
          <rPr>
            <sz val="8"/>
            <rFont val="Tahoma"/>
            <family val="2"/>
          </rPr>
          <t xml:space="preserve">Maximum allowable sensing resistance in ohm.
</t>
        </r>
      </text>
    </comment>
    <comment ref="B87" authorId="1">
      <text>
        <r>
          <rPr>
            <sz val="8"/>
            <rFont val="Tahoma"/>
            <family val="2"/>
          </rPr>
          <t xml:space="preserve">Enter sensing resistance used in ohm.
</t>
        </r>
      </text>
    </comment>
    <comment ref="B32" authorId="0">
      <text>
        <r>
          <rPr>
            <sz val="8"/>
            <rFont val="Tahoma"/>
            <family val="2"/>
          </rPr>
          <t>Enter Primary inductance of the transformer.  A recommended value is shown in cell B31.</t>
        </r>
      </text>
    </comment>
    <comment ref="C62" authorId="1">
      <text>
        <r>
          <rPr>
            <sz val="8"/>
            <rFont val="Tahoma"/>
            <family val="2"/>
          </rPr>
          <t>Enter effective area of the magnetic core in mm</t>
        </r>
        <r>
          <rPr>
            <vertAlign val="superscript"/>
            <sz val="8"/>
            <rFont val="Tahoma"/>
            <family val="2"/>
          </rPr>
          <t>2</t>
        </r>
      </text>
    </comment>
    <comment ref="D62" authorId="1">
      <text>
        <r>
          <rPr>
            <sz val="8"/>
            <rFont val="Tahoma"/>
            <family val="2"/>
          </rPr>
          <t>Enter effective area of the magnetic core in mm</t>
        </r>
        <r>
          <rPr>
            <vertAlign val="superscript"/>
            <sz val="8"/>
            <rFont val="Tahoma"/>
            <family val="2"/>
          </rPr>
          <t>2</t>
        </r>
      </text>
    </comment>
    <comment ref="E62" authorId="1">
      <text>
        <r>
          <rPr>
            <sz val="8"/>
            <rFont val="Tahoma"/>
            <family val="2"/>
          </rPr>
          <t>Enter effective area of the magnetic core in mm</t>
        </r>
        <r>
          <rPr>
            <vertAlign val="superscript"/>
            <sz val="8"/>
            <rFont val="Tahoma"/>
            <family val="2"/>
          </rPr>
          <t>2</t>
        </r>
      </text>
    </comment>
    <comment ref="F62" authorId="1">
      <text>
        <r>
          <rPr>
            <sz val="8"/>
            <rFont val="Tahoma"/>
            <family val="2"/>
          </rPr>
          <t>Enter effective area of the magnetic core in mm</t>
        </r>
        <r>
          <rPr>
            <vertAlign val="superscript"/>
            <sz val="8"/>
            <rFont val="Tahoma"/>
            <family val="2"/>
          </rPr>
          <t>2</t>
        </r>
      </text>
    </comment>
    <comment ref="C63" authorId="1">
      <text>
        <r>
          <rPr>
            <sz val="8"/>
            <rFont val="Tahoma"/>
            <family val="2"/>
          </rPr>
          <t>Enter saturation magnetic flux density of core material at 25</t>
        </r>
        <r>
          <rPr>
            <vertAlign val="superscript"/>
            <sz val="8"/>
            <rFont val="Tahoma"/>
            <family val="2"/>
          </rPr>
          <t>o</t>
        </r>
        <r>
          <rPr>
            <sz val="8"/>
            <rFont val="Tahoma"/>
            <family val="2"/>
          </rPr>
          <t>C in Tesla.</t>
        </r>
        <r>
          <rPr>
            <sz val="8"/>
            <rFont val="Tahoma"/>
            <family val="2"/>
          </rPr>
          <t xml:space="preserve">
</t>
        </r>
      </text>
    </comment>
    <comment ref="D63" authorId="1">
      <text>
        <r>
          <rPr>
            <sz val="8"/>
            <rFont val="Tahoma"/>
            <family val="2"/>
          </rPr>
          <t>Enter saturation magnetic flux density of core material at 25</t>
        </r>
        <r>
          <rPr>
            <vertAlign val="superscript"/>
            <sz val="8"/>
            <rFont val="Tahoma"/>
            <family val="2"/>
          </rPr>
          <t>o</t>
        </r>
        <r>
          <rPr>
            <sz val="8"/>
            <rFont val="Tahoma"/>
            <family val="2"/>
          </rPr>
          <t>C in Tesla.</t>
        </r>
        <r>
          <rPr>
            <sz val="8"/>
            <rFont val="Tahoma"/>
            <family val="2"/>
          </rPr>
          <t xml:space="preserve">
</t>
        </r>
      </text>
    </comment>
    <comment ref="E63" authorId="1">
      <text>
        <r>
          <rPr>
            <sz val="8"/>
            <rFont val="Tahoma"/>
            <family val="2"/>
          </rPr>
          <t>Enter saturation magnetic flux density of core material at 25</t>
        </r>
        <r>
          <rPr>
            <vertAlign val="superscript"/>
            <sz val="8"/>
            <rFont val="Tahoma"/>
            <family val="2"/>
          </rPr>
          <t>o</t>
        </r>
        <r>
          <rPr>
            <sz val="8"/>
            <rFont val="Tahoma"/>
            <family val="2"/>
          </rPr>
          <t>C in Tesla.</t>
        </r>
        <r>
          <rPr>
            <sz val="8"/>
            <rFont val="Tahoma"/>
            <family val="2"/>
          </rPr>
          <t xml:space="preserve">
</t>
        </r>
      </text>
    </comment>
    <comment ref="F63" authorId="1">
      <text>
        <r>
          <rPr>
            <sz val="8"/>
            <rFont val="Tahoma"/>
            <family val="2"/>
          </rPr>
          <t>Enter saturation magnetic flux density of core material at 25</t>
        </r>
        <r>
          <rPr>
            <vertAlign val="superscript"/>
            <sz val="8"/>
            <rFont val="Tahoma"/>
            <family val="2"/>
          </rPr>
          <t>o</t>
        </r>
        <r>
          <rPr>
            <sz val="8"/>
            <rFont val="Tahoma"/>
            <family val="2"/>
          </rPr>
          <t>C in Tesla.</t>
        </r>
        <r>
          <rPr>
            <sz val="8"/>
            <rFont val="Tahoma"/>
            <family val="2"/>
          </rPr>
          <t xml:space="preserve">
</t>
        </r>
      </text>
    </comment>
    <comment ref="C64" authorId="1">
      <text>
        <r>
          <rPr>
            <sz val="8"/>
            <rFont val="Tahoma"/>
            <family val="2"/>
          </rPr>
          <t>Enter bobbin window area in mm</t>
        </r>
        <r>
          <rPr>
            <vertAlign val="superscript"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>.</t>
        </r>
        <r>
          <rPr>
            <sz val="8"/>
            <rFont val="Tahoma"/>
            <family val="2"/>
          </rPr>
          <t xml:space="preserve">
</t>
        </r>
      </text>
    </comment>
    <comment ref="D64" authorId="1">
      <text>
        <r>
          <rPr>
            <sz val="8"/>
            <rFont val="Tahoma"/>
            <family val="2"/>
          </rPr>
          <t>Enter bobbin window area in mm</t>
        </r>
        <r>
          <rPr>
            <vertAlign val="superscript"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>.</t>
        </r>
        <r>
          <rPr>
            <sz val="8"/>
            <rFont val="Tahoma"/>
            <family val="2"/>
          </rPr>
          <t xml:space="preserve">
</t>
        </r>
      </text>
    </comment>
    <comment ref="E64" authorId="1">
      <text>
        <r>
          <rPr>
            <sz val="8"/>
            <rFont val="Tahoma"/>
            <family val="2"/>
          </rPr>
          <t>Enter bobbin window area in mm</t>
        </r>
        <r>
          <rPr>
            <vertAlign val="superscript"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>.</t>
        </r>
        <r>
          <rPr>
            <sz val="8"/>
            <rFont val="Tahoma"/>
            <family val="2"/>
          </rPr>
          <t xml:space="preserve">
</t>
        </r>
      </text>
    </comment>
    <comment ref="F64" authorId="1">
      <text>
        <r>
          <rPr>
            <sz val="8"/>
            <rFont val="Tahoma"/>
            <family val="2"/>
          </rPr>
          <t>Enter bobbin window area in mm</t>
        </r>
        <r>
          <rPr>
            <vertAlign val="superscript"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>.</t>
        </r>
        <r>
          <rPr>
            <sz val="8"/>
            <rFont val="Tahoma"/>
            <family val="2"/>
          </rPr>
          <t xml:space="preserve">
</t>
        </r>
      </text>
    </comment>
    <comment ref="C69" authorId="1">
      <text>
        <r>
          <rPr>
            <sz val="8"/>
            <rFont val="Tahoma"/>
            <family val="2"/>
          </rPr>
          <t>Number of turns for primary winding.</t>
        </r>
      </text>
    </comment>
    <comment ref="D69" authorId="1">
      <text>
        <r>
          <rPr>
            <sz val="8"/>
            <rFont val="Tahoma"/>
            <family val="2"/>
          </rPr>
          <t>Number of turns for primary winding.</t>
        </r>
      </text>
    </comment>
    <comment ref="E69" authorId="1">
      <text>
        <r>
          <rPr>
            <sz val="8"/>
            <rFont val="Tahoma"/>
            <family val="2"/>
          </rPr>
          <t>Number of turns for primary winding.</t>
        </r>
      </text>
    </comment>
    <comment ref="F69" authorId="1">
      <text>
        <r>
          <rPr>
            <sz val="8"/>
            <rFont val="Tahoma"/>
            <family val="2"/>
          </rPr>
          <t>Number of turns for primary winding.</t>
        </r>
      </text>
    </comment>
    <comment ref="C70" authorId="1">
      <text>
        <r>
          <rPr>
            <sz val="8"/>
            <rFont val="Tahoma"/>
            <family val="2"/>
          </rPr>
          <t>Number of turns for secondary winding.</t>
        </r>
      </text>
    </comment>
    <comment ref="D70" authorId="1">
      <text>
        <r>
          <rPr>
            <sz val="8"/>
            <rFont val="Tahoma"/>
            <family val="2"/>
          </rPr>
          <t>Number of turns for secondary winding.</t>
        </r>
      </text>
    </comment>
    <comment ref="E70" authorId="1">
      <text>
        <r>
          <rPr>
            <sz val="8"/>
            <rFont val="Tahoma"/>
            <family val="2"/>
          </rPr>
          <t>Number of turns for secondary winding.</t>
        </r>
      </text>
    </comment>
    <comment ref="F70" authorId="1">
      <text>
        <r>
          <rPr>
            <sz val="8"/>
            <rFont val="Tahoma"/>
            <family val="2"/>
          </rPr>
          <t>Number of turns for secondary winding.</t>
        </r>
      </text>
    </comment>
    <comment ref="C79" authorId="1">
      <text>
        <r>
          <rPr>
            <sz val="8"/>
            <rFont val="Tahoma"/>
            <family val="2"/>
          </rPr>
          <t xml:space="preserve">"OK" : Bobbin is big enough  </t>
        </r>
        <r>
          <rPr>
            <sz val="8"/>
            <rFont val="Tahoma"/>
            <family val="2"/>
          </rPr>
          <t xml:space="preserve">
"Not OK" : Bobbin is too small
Reference data only. Consult transformer vendor for a conclusive answer.</t>
        </r>
      </text>
    </comment>
    <comment ref="D79" authorId="1">
      <text>
        <r>
          <rPr>
            <sz val="8"/>
            <rFont val="Tahoma"/>
            <family val="2"/>
          </rPr>
          <t xml:space="preserve">"OK" : Bobbin is big enough  </t>
        </r>
        <r>
          <rPr>
            <sz val="8"/>
            <rFont val="Tahoma"/>
            <family val="2"/>
          </rPr>
          <t xml:space="preserve">
"Not OK" : Bobbin is too small
Reference data only. Consult transformer vendor for a conclusive answer.</t>
        </r>
      </text>
    </comment>
    <comment ref="E79" authorId="1">
      <text>
        <r>
          <rPr>
            <sz val="8"/>
            <rFont val="Tahoma"/>
            <family val="2"/>
          </rPr>
          <t xml:space="preserve">"OK" : Bobbin is big enough  </t>
        </r>
        <r>
          <rPr>
            <sz val="8"/>
            <rFont val="Tahoma"/>
            <family val="2"/>
          </rPr>
          <t xml:space="preserve">
"Not OK" : Bobbin is too small
Reference data only. Consult transformer vendor for a conclusive answer.</t>
        </r>
      </text>
    </comment>
    <comment ref="F79" authorId="1">
      <text>
        <r>
          <rPr>
            <sz val="8"/>
            <rFont val="Tahoma"/>
            <family val="2"/>
          </rPr>
          <t xml:space="preserve">"OK" : Bobbin is big enough  </t>
        </r>
        <r>
          <rPr>
            <sz val="8"/>
            <rFont val="Tahoma"/>
            <family val="2"/>
          </rPr>
          <t xml:space="preserve">
"Not OK" : Bobbin is too small
Reference data only. Consult transformer vendor for a conclusive answer.</t>
        </r>
      </text>
    </comment>
  </commentList>
</comments>
</file>

<file path=xl/comments2.xml><?xml version="1.0" encoding="utf-8"?>
<comments xmlns="http://schemas.openxmlformats.org/spreadsheetml/2006/main">
  <authors>
    <author>Hector Ng</author>
  </authors>
  <commentList>
    <comment ref="C4" authorId="0">
      <text>
        <r>
          <rPr>
            <sz val="8"/>
            <rFont val="Tahoma"/>
            <family val="2"/>
          </rPr>
          <t>Suitable wire size for primary winding.</t>
        </r>
      </text>
    </comment>
    <comment ref="C5" authorId="0">
      <text>
        <r>
          <rPr>
            <sz val="8"/>
            <rFont val="Tahoma"/>
            <family val="2"/>
          </rPr>
          <t>Number of primary winding needed to connect in parallel.</t>
        </r>
      </text>
    </comment>
    <comment ref="C7" authorId="0">
      <text>
        <r>
          <rPr>
            <sz val="8"/>
            <rFont val="Tahoma"/>
            <family val="2"/>
          </rPr>
          <t>Suitable wire size for secondary winding.</t>
        </r>
      </text>
    </comment>
    <comment ref="C6" authorId="0">
      <text>
        <r>
          <rPr>
            <sz val="8"/>
            <rFont val="Tahoma"/>
            <family val="2"/>
          </rPr>
          <t>Number of turns for primary winding.</t>
        </r>
      </text>
    </comment>
    <comment ref="C9" authorId="0">
      <text>
        <r>
          <rPr>
            <sz val="8"/>
            <rFont val="Tahoma"/>
            <family val="2"/>
          </rPr>
          <t>Number of turns for secondary winding.</t>
        </r>
      </text>
    </comment>
    <comment ref="C8" authorId="0">
      <text>
        <r>
          <rPr>
            <sz val="8"/>
            <rFont val="Tahoma"/>
            <family val="2"/>
          </rPr>
          <t>Number of secondary winding needed to connect in parallel.</t>
        </r>
      </text>
    </comment>
    <comment ref="C10" authorId="0">
      <text>
        <r>
          <rPr>
            <sz val="8"/>
            <rFont val="Tahoma"/>
            <family val="2"/>
          </rPr>
          <t>Air gap length for centre limb.  If air gap is created in side limbs, this value has to be divided by 2.</t>
        </r>
        <r>
          <rPr>
            <sz val="8"/>
            <rFont val="Tahoma"/>
            <family val="2"/>
          </rPr>
          <t xml:space="preserve">
</t>
        </r>
      </text>
    </comment>
    <comment ref="C11" authorId="0">
      <text>
        <r>
          <rPr>
            <sz val="8"/>
            <rFont val="Tahoma"/>
            <family val="2"/>
          </rPr>
          <t xml:space="preserve">"OK" : Bobbin is big enough  </t>
        </r>
        <r>
          <rPr>
            <sz val="8"/>
            <rFont val="Tahoma"/>
            <family val="2"/>
          </rPr>
          <t xml:space="preserve">
"Not OK" : Bobbin is too small
Reference data only. Consult transformer vendor for a conclusive answer.</t>
        </r>
      </text>
    </comment>
    <comment ref="C20" authorId="0">
      <text>
        <r>
          <rPr>
            <sz val="8"/>
            <rFont val="Tahoma"/>
            <family val="2"/>
          </rPr>
          <t xml:space="preserve">Maximum allowable sensing resistance in ohm.
</t>
        </r>
      </text>
    </comment>
  </commentList>
</comments>
</file>

<file path=xl/sharedStrings.xml><?xml version="1.0" encoding="utf-8"?>
<sst xmlns="http://schemas.openxmlformats.org/spreadsheetml/2006/main" count="292" uniqueCount="201">
  <si>
    <t>System Parameters</t>
  </si>
  <si>
    <t xml:space="preserve"> </t>
  </si>
  <si>
    <t>V</t>
  </si>
  <si>
    <t>Maximum AC Input Voltage</t>
  </si>
  <si>
    <t>User Input Cells</t>
  </si>
  <si>
    <t>Minimum AC Input Voltage</t>
  </si>
  <si>
    <t>Hz</t>
  </si>
  <si>
    <t>Line Frequency</t>
  </si>
  <si>
    <t>Minimum DC Voltage</t>
  </si>
  <si>
    <t>Output Voltage</t>
  </si>
  <si>
    <t>A</t>
  </si>
  <si>
    <t>Maximum Output Current</t>
  </si>
  <si>
    <t>h</t>
  </si>
  <si>
    <t>Percent</t>
  </si>
  <si>
    <t>Efficiency</t>
  </si>
  <si>
    <t>W</t>
  </si>
  <si>
    <t>Input Power</t>
  </si>
  <si>
    <t>Reflected Output Voltage</t>
  </si>
  <si>
    <t>Maximum Input Average Current</t>
  </si>
  <si>
    <t>Ratio N1/N2</t>
  </si>
  <si>
    <t>Turn Ratio Between Primary and Secondary</t>
  </si>
  <si>
    <t>Primary Inductance</t>
  </si>
  <si>
    <t>ohm</t>
  </si>
  <si>
    <t>uF</t>
  </si>
  <si>
    <t>Output Diode Selection</t>
  </si>
  <si>
    <t xml:space="preserve">Output Peak Current </t>
  </si>
  <si>
    <t>Output Maximum Reverse Voltage</t>
  </si>
  <si>
    <t xml:space="preserve">Wire selection </t>
  </si>
  <si>
    <t>Maximum Input RMS Current</t>
  </si>
  <si>
    <t>Maximum Output RMS Current</t>
  </si>
  <si>
    <t>Lay_p</t>
  </si>
  <si>
    <t>Layer of primary winding</t>
  </si>
  <si>
    <t>Lay_s</t>
  </si>
  <si>
    <t>Layer of secondary winding</t>
  </si>
  <si>
    <t>Primary wire size</t>
  </si>
  <si>
    <t>Secondary wire size</t>
  </si>
  <si>
    <t>RMS Current Density</t>
  </si>
  <si>
    <t>Allowable Current/(A)</t>
  </si>
  <si>
    <t>Wire Size</t>
  </si>
  <si>
    <t>AWG 41</t>
  </si>
  <si>
    <t>AWG 40</t>
  </si>
  <si>
    <t>AWG 39</t>
  </si>
  <si>
    <t>AWG 38</t>
  </si>
  <si>
    <t>AWG 37</t>
  </si>
  <si>
    <t>AWG 36</t>
  </si>
  <si>
    <t>AWG 35</t>
  </si>
  <si>
    <t>AWG 34</t>
  </si>
  <si>
    <t>AWG 33</t>
  </si>
  <si>
    <t>AWG 32</t>
  </si>
  <si>
    <t>AWG 31</t>
  </si>
  <si>
    <t>AWG 30</t>
  </si>
  <si>
    <t>AWG 29</t>
  </si>
  <si>
    <t>AWG 28</t>
  </si>
  <si>
    <t>AWG 27</t>
  </si>
  <si>
    <t>AWG 26</t>
  </si>
  <si>
    <t>AWG 25</t>
  </si>
  <si>
    <t>AWG 24</t>
  </si>
  <si>
    <t>AWG 23</t>
  </si>
  <si>
    <t>AWG 22</t>
  </si>
  <si>
    <t>AWG 21</t>
  </si>
  <si>
    <t>AWG 20</t>
  </si>
  <si>
    <t xml:space="preserve">Core selection </t>
  </si>
  <si>
    <t xml:space="preserve">Flux density safety factor </t>
  </si>
  <si>
    <t>Core Type</t>
  </si>
  <si>
    <t>Core Type A</t>
  </si>
  <si>
    <t>Core Type B</t>
  </si>
  <si>
    <t>Core Type C</t>
  </si>
  <si>
    <t>Core Type D</t>
  </si>
  <si>
    <t>Core Type E</t>
  </si>
  <si>
    <t>Effective Area</t>
  </si>
  <si>
    <t>Saturation Magnetic Flux Density</t>
  </si>
  <si>
    <t>Gap length d</t>
  </si>
  <si>
    <t>Primary Number of Turns</t>
  </si>
  <si>
    <t>Secondary Number of Turns</t>
  </si>
  <si>
    <t>Area of a single turn of primary wire</t>
  </si>
  <si>
    <t>Area of primary winding</t>
  </si>
  <si>
    <t>Area of a single turn of secondary wire</t>
  </si>
  <si>
    <t>Area of secondary winding</t>
  </si>
  <si>
    <t>Total Winding Area</t>
  </si>
  <si>
    <t>Enough Space ?</t>
  </si>
  <si>
    <t>T</t>
  </si>
  <si>
    <t>Magnetic Flux Density during startup</t>
  </si>
  <si>
    <t>Selected Device</t>
  </si>
  <si>
    <t>mH</t>
  </si>
  <si>
    <t>Maximum Wire Size</t>
  </si>
  <si>
    <t>mm</t>
  </si>
  <si>
    <t>Usable Area of Bobin for Winding</t>
  </si>
  <si>
    <t>Bobbin Usage Factor</t>
  </si>
  <si>
    <t>Core Name</t>
  </si>
  <si>
    <t>E 16/8/5</t>
  </si>
  <si>
    <t>E 25/13/7</t>
  </si>
  <si>
    <t>E 30/15/7</t>
  </si>
  <si>
    <t>E 32/16/9</t>
  </si>
  <si>
    <t>Maximum voltage across the power switch circuit (less leakage spike)</t>
  </si>
  <si>
    <t>Recommended Input filter capacitance</t>
  </si>
  <si>
    <t xml:space="preserve">Input filter capacitance </t>
  </si>
  <si>
    <t>Input Filter Capacitor</t>
  </si>
  <si>
    <t>Bobbin Winding Window Area</t>
  </si>
  <si>
    <t>Results</t>
  </si>
  <si>
    <t>40KHz</t>
  </si>
  <si>
    <t>60KHz</t>
  </si>
  <si>
    <t>100KHz</t>
  </si>
  <si>
    <t>NCP1200 Discontinuous Mode Design Worksheet</t>
  </si>
  <si>
    <t>KHz</t>
  </si>
  <si>
    <t>Power MOSFET Breakdown Voltage</t>
  </si>
  <si>
    <t>Output Diode voltage drop</t>
  </si>
  <si>
    <t>Maximum Turn On Duty (Full Load, Low Line)</t>
  </si>
  <si>
    <t>Typical Switching Frequency</t>
  </si>
  <si>
    <t>Maximum conduction loss of power MOSFET</t>
  </si>
  <si>
    <t>Tolerance of Primary Inductance</t>
  </si>
  <si>
    <t xml:space="preserve">  </t>
  </si>
  <si>
    <t>Worst Case Maximum Primary Peak Current (Lowest Switching Frequency and Lowest Primary Inductance)</t>
  </si>
  <si>
    <t>MInimum Switching Frequency</t>
  </si>
  <si>
    <t>Maximum Peak Current (Sensing Resistor) Setting</t>
  </si>
  <si>
    <t>Lowest Primary Inductance</t>
  </si>
  <si>
    <t>Maximum Allowable Sensing Resistance</t>
  </si>
  <si>
    <t>Sensing Resistance</t>
  </si>
  <si>
    <t>Highest Primary Inductance</t>
  </si>
  <si>
    <t>Recommended Primary Inductance</t>
  </si>
  <si>
    <t>Maximum Primary peak current</t>
  </si>
  <si>
    <t>Maximum Switching Frequency</t>
  </si>
  <si>
    <t>Transformer Specification</t>
  </si>
  <si>
    <t>Primary Wire Size</t>
  </si>
  <si>
    <t>=</t>
  </si>
  <si>
    <t>Secondary Wire Size</t>
  </si>
  <si>
    <t>Select Core Type</t>
  </si>
  <si>
    <r>
      <t>V</t>
    </r>
    <r>
      <rPr>
        <vertAlign val="subscript"/>
        <sz val="10"/>
        <color indexed="10"/>
        <rFont val="Arial"/>
        <family val="2"/>
      </rPr>
      <t>max</t>
    </r>
  </si>
  <si>
    <r>
      <t>V</t>
    </r>
    <r>
      <rPr>
        <vertAlign val="subscript"/>
        <sz val="10"/>
        <color indexed="10"/>
        <rFont val="Arial"/>
        <family val="2"/>
      </rPr>
      <t>min</t>
    </r>
  </si>
  <si>
    <r>
      <t>F</t>
    </r>
    <r>
      <rPr>
        <vertAlign val="subscript"/>
        <sz val="10"/>
        <color indexed="10"/>
        <rFont val="Arial"/>
        <family val="2"/>
      </rPr>
      <t>line</t>
    </r>
  </si>
  <si>
    <r>
      <t>V</t>
    </r>
    <r>
      <rPr>
        <vertAlign val="subscript"/>
        <sz val="10"/>
        <rFont val="Arial"/>
        <family val="2"/>
      </rPr>
      <t>min(DC)</t>
    </r>
  </si>
  <si>
    <r>
      <t>F</t>
    </r>
    <r>
      <rPr>
        <vertAlign val="subscript"/>
        <sz val="10"/>
        <rFont val="Arial"/>
        <family val="2"/>
      </rPr>
      <t>s(max)</t>
    </r>
  </si>
  <si>
    <r>
      <t>F</t>
    </r>
    <r>
      <rPr>
        <vertAlign val="subscript"/>
        <sz val="10"/>
        <rFont val="Arial"/>
        <family val="2"/>
      </rPr>
      <t>s(typ)</t>
    </r>
  </si>
  <si>
    <r>
      <t>F</t>
    </r>
    <r>
      <rPr>
        <vertAlign val="subscript"/>
        <sz val="10"/>
        <rFont val="Arial"/>
        <family val="2"/>
      </rPr>
      <t>s(min)</t>
    </r>
  </si>
  <si>
    <r>
      <t>V</t>
    </r>
    <r>
      <rPr>
        <vertAlign val="subscript"/>
        <sz val="10"/>
        <color indexed="10"/>
        <rFont val="Arial"/>
        <family val="2"/>
      </rPr>
      <t>o</t>
    </r>
  </si>
  <si>
    <r>
      <t>I</t>
    </r>
    <r>
      <rPr>
        <vertAlign val="subscript"/>
        <sz val="10"/>
        <color indexed="10"/>
        <rFont val="Arial"/>
        <family val="2"/>
      </rPr>
      <t>o</t>
    </r>
  </si>
  <si>
    <r>
      <t>V</t>
    </r>
    <r>
      <rPr>
        <vertAlign val="subscript"/>
        <sz val="10"/>
        <color indexed="10"/>
        <rFont val="Arial"/>
        <family val="2"/>
      </rPr>
      <t>bd</t>
    </r>
  </si>
  <si>
    <r>
      <t>V</t>
    </r>
    <r>
      <rPr>
        <vertAlign val="subscript"/>
        <sz val="10"/>
        <color indexed="10"/>
        <rFont val="Arial"/>
        <family val="2"/>
      </rPr>
      <t xml:space="preserve">d </t>
    </r>
  </si>
  <si>
    <r>
      <t>P</t>
    </r>
    <r>
      <rPr>
        <vertAlign val="subscript"/>
        <sz val="10"/>
        <rFont val="Arial"/>
        <family val="2"/>
      </rPr>
      <t>i</t>
    </r>
  </si>
  <si>
    <r>
      <t>I</t>
    </r>
    <r>
      <rPr>
        <vertAlign val="subscript"/>
        <sz val="10"/>
        <rFont val="Arial"/>
        <family val="2"/>
      </rPr>
      <t>in(pk)</t>
    </r>
    <r>
      <rPr>
        <sz val="10"/>
        <rFont val="Arial"/>
        <family val="2"/>
      </rPr>
      <t xml:space="preserve"> (Fs = max)</t>
    </r>
  </si>
  <si>
    <r>
      <t>I</t>
    </r>
    <r>
      <rPr>
        <vertAlign val="subscript"/>
        <sz val="10"/>
        <rFont val="Arial"/>
        <family val="2"/>
      </rPr>
      <t>in(pk)</t>
    </r>
  </si>
  <si>
    <r>
      <t>V</t>
    </r>
    <r>
      <rPr>
        <vertAlign val="subscript"/>
        <sz val="10"/>
        <rFont val="Arial"/>
        <family val="2"/>
      </rPr>
      <t>O`</t>
    </r>
  </si>
  <si>
    <r>
      <t>V</t>
    </r>
    <r>
      <rPr>
        <vertAlign val="subscript"/>
        <sz val="10"/>
        <rFont val="Arial"/>
        <family val="2"/>
      </rPr>
      <t>pwr_sw(max)</t>
    </r>
  </si>
  <si>
    <r>
      <t>D</t>
    </r>
    <r>
      <rPr>
        <vertAlign val="subscript"/>
        <sz val="10"/>
        <rFont val="Arial"/>
        <family val="2"/>
      </rPr>
      <t>max</t>
    </r>
  </si>
  <si>
    <r>
      <t>I</t>
    </r>
    <r>
      <rPr>
        <vertAlign val="subscript"/>
        <sz val="10"/>
        <rFont val="Arial"/>
        <family val="2"/>
      </rPr>
      <t>in(av)</t>
    </r>
  </si>
  <si>
    <r>
      <t>Recommended L</t>
    </r>
    <r>
      <rPr>
        <vertAlign val="subscript"/>
        <sz val="10"/>
        <rFont val="Arial"/>
        <family val="2"/>
      </rPr>
      <t>p</t>
    </r>
  </si>
  <si>
    <r>
      <t>L</t>
    </r>
    <r>
      <rPr>
        <vertAlign val="subscript"/>
        <sz val="10"/>
        <color indexed="10"/>
        <rFont val="Arial"/>
        <family val="2"/>
      </rPr>
      <t>p</t>
    </r>
  </si>
  <si>
    <r>
      <t>R</t>
    </r>
    <r>
      <rPr>
        <vertAlign val="subscript"/>
        <sz val="10"/>
        <color indexed="10"/>
        <rFont val="Arial"/>
        <family val="2"/>
      </rPr>
      <t>DS(on)</t>
    </r>
  </si>
  <si>
    <r>
      <t>Maximum R</t>
    </r>
    <r>
      <rPr>
        <vertAlign val="subscript"/>
        <sz val="10"/>
        <color indexed="10"/>
        <rFont val="Arial"/>
        <family val="2"/>
      </rPr>
      <t>DS(on)</t>
    </r>
    <r>
      <rPr>
        <sz val="10"/>
        <color indexed="10"/>
        <rFont val="Arial"/>
        <family val="2"/>
      </rPr>
      <t xml:space="preserve"> of power MOSFET</t>
    </r>
  </si>
  <si>
    <r>
      <t>P</t>
    </r>
    <r>
      <rPr>
        <vertAlign val="subscript"/>
        <sz val="10"/>
        <rFont val="Arial"/>
        <family val="2"/>
      </rPr>
      <t>dis(pwr_sw)</t>
    </r>
  </si>
  <si>
    <r>
      <t>Recommended C</t>
    </r>
    <r>
      <rPr>
        <vertAlign val="subscript"/>
        <sz val="10"/>
        <rFont val="Arial"/>
        <family val="2"/>
      </rPr>
      <t>in</t>
    </r>
  </si>
  <si>
    <r>
      <t>C</t>
    </r>
    <r>
      <rPr>
        <vertAlign val="subscript"/>
        <sz val="10"/>
        <color indexed="10"/>
        <rFont val="Arial"/>
        <family val="2"/>
      </rPr>
      <t>in</t>
    </r>
  </si>
  <si>
    <r>
      <t>I</t>
    </r>
    <r>
      <rPr>
        <vertAlign val="subscript"/>
        <sz val="10"/>
        <rFont val="Arial"/>
        <family val="2"/>
      </rPr>
      <t>o(pk)</t>
    </r>
  </si>
  <si>
    <r>
      <t>V</t>
    </r>
    <r>
      <rPr>
        <vertAlign val="subscript"/>
        <sz val="10"/>
        <rFont val="Arial"/>
        <family val="2"/>
      </rPr>
      <t>ro</t>
    </r>
  </si>
  <si>
    <r>
      <t>I</t>
    </r>
    <r>
      <rPr>
        <vertAlign val="subscript"/>
        <sz val="10"/>
        <rFont val="Arial"/>
        <family val="2"/>
      </rPr>
      <t>in(rms)</t>
    </r>
  </si>
  <si>
    <r>
      <t>I</t>
    </r>
    <r>
      <rPr>
        <vertAlign val="subscript"/>
        <sz val="10"/>
        <rFont val="Arial"/>
        <family val="2"/>
      </rPr>
      <t>o(rms)</t>
    </r>
  </si>
  <si>
    <r>
      <t>(A/mm</t>
    </r>
    <r>
      <rPr>
        <vertAlign val="superscript"/>
        <sz val="10"/>
        <color indexed="10"/>
        <rFont val="Arial"/>
        <family val="2"/>
      </rPr>
      <t>2</t>
    </r>
    <r>
      <rPr>
        <sz val="10"/>
        <color indexed="10"/>
        <rFont val="Arial"/>
        <family val="2"/>
      </rPr>
      <t>)</t>
    </r>
  </si>
  <si>
    <r>
      <t>Conductor Area/(mm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</si>
  <si>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Wire Area/(mm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</si>
  <si>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A</t>
    </r>
    <r>
      <rPr>
        <vertAlign val="subscript"/>
        <sz val="10"/>
        <color indexed="10"/>
        <rFont val="Arial"/>
        <family val="2"/>
      </rPr>
      <t>e</t>
    </r>
  </si>
  <si>
    <r>
      <t>mm</t>
    </r>
    <r>
      <rPr>
        <vertAlign val="superscript"/>
        <sz val="10"/>
        <color indexed="10"/>
        <rFont val="Arial"/>
        <family val="2"/>
      </rPr>
      <t>2</t>
    </r>
  </si>
  <si>
    <r>
      <t>B</t>
    </r>
    <r>
      <rPr>
        <vertAlign val="subscript"/>
        <sz val="10"/>
        <color indexed="10"/>
        <rFont val="Arial"/>
        <family val="2"/>
      </rPr>
      <t>sat</t>
    </r>
  </si>
  <si>
    <r>
      <t>A</t>
    </r>
    <r>
      <rPr>
        <vertAlign val="subscript"/>
        <sz val="10"/>
        <color indexed="10"/>
        <rFont val="Arial"/>
        <family val="2"/>
      </rPr>
      <t>w</t>
    </r>
  </si>
  <si>
    <r>
      <t>A</t>
    </r>
    <r>
      <rPr>
        <vertAlign val="subscript"/>
        <sz val="10"/>
        <color indexed="8"/>
        <rFont val="Arial"/>
        <family val="2"/>
      </rPr>
      <t>bob</t>
    </r>
  </si>
  <si>
    <r>
      <t>mm</t>
    </r>
    <r>
      <rPr>
        <vertAlign val="superscript"/>
        <sz val="10"/>
        <color indexed="8"/>
        <rFont val="Arial"/>
        <family val="2"/>
      </rPr>
      <t>2</t>
    </r>
  </si>
  <si>
    <r>
      <t>N</t>
    </r>
    <r>
      <rPr>
        <vertAlign val="subscript"/>
        <sz val="10"/>
        <color indexed="12"/>
        <rFont val="Arial"/>
        <family val="2"/>
      </rPr>
      <t>1</t>
    </r>
  </si>
  <si>
    <r>
      <t>N</t>
    </r>
    <r>
      <rPr>
        <vertAlign val="subscript"/>
        <sz val="10"/>
        <color indexed="12"/>
        <rFont val="Arial"/>
        <family val="2"/>
      </rPr>
      <t>2</t>
    </r>
  </si>
  <si>
    <r>
      <t>A</t>
    </r>
    <r>
      <rPr>
        <vertAlign val="subscript"/>
        <sz val="10"/>
        <color indexed="8"/>
        <rFont val="Arial"/>
        <family val="2"/>
      </rPr>
      <t>p</t>
    </r>
  </si>
  <si>
    <r>
      <t>A</t>
    </r>
    <r>
      <rPr>
        <vertAlign val="subscript"/>
        <sz val="10"/>
        <rFont val="Arial"/>
        <family val="2"/>
      </rPr>
      <t>pri</t>
    </r>
  </si>
  <si>
    <r>
      <t>mm</t>
    </r>
    <r>
      <rPr>
        <vertAlign val="superscript"/>
        <sz val="10"/>
        <rFont val="Arial"/>
        <family val="2"/>
      </rPr>
      <t>2</t>
    </r>
  </si>
  <si>
    <r>
      <t>A</t>
    </r>
    <r>
      <rPr>
        <vertAlign val="subscript"/>
        <sz val="10"/>
        <color indexed="8"/>
        <rFont val="Arial"/>
        <family val="2"/>
      </rPr>
      <t>s</t>
    </r>
  </si>
  <si>
    <r>
      <t>A</t>
    </r>
    <r>
      <rPr>
        <vertAlign val="subscript"/>
        <sz val="10"/>
        <rFont val="Arial"/>
        <family val="2"/>
      </rPr>
      <t>sec</t>
    </r>
  </si>
  <si>
    <r>
      <t>A</t>
    </r>
    <r>
      <rPr>
        <vertAlign val="subscript"/>
        <sz val="10"/>
        <rFont val="Arial"/>
        <family val="2"/>
      </rPr>
      <t>sum</t>
    </r>
  </si>
  <si>
    <r>
      <t>DL</t>
    </r>
    <r>
      <rPr>
        <vertAlign val="subscript"/>
        <sz val="10"/>
        <color indexed="10"/>
        <rFont val="Arial"/>
        <family val="2"/>
      </rPr>
      <t>p</t>
    </r>
  </si>
  <si>
    <r>
      <t>L</t>
    </r>
    <r>
      <rPr>
        <vertAlign val="subscript"/>
        <sz val="10"/>
        <rFont val="Arial"/>
        <family val="2"/>
      </rPr>
      <t>p(min)</t>
    </r>
  </si>
  <si>
    <r>
      <t>L</t>
    </r>
    <r>
      <rPr>
        <vertAlign val="subscript"/>
        <sz val="10"/>
        <rFont val="Arial"/>
        <family val="2"/>
      </rPr>
      <t>p(max)</t>
    </r>
  </si>
  <si>
    <r>
      <t>I</t>
    </r>
    <r>
      <rPr>
        <vertAlign val="subscript"/>
        <sz val="10"/>
        <rFont val="Arial"/>
        <family val="2"/>
      </rPr>
      <t>p(worst)</t>
    </r>
  </si>
  <si>
    <r>
      <t>R</t>
    </r>
    <r>
      <rPr>
        <vertAlign val="subscript"/>
        <sz val="10"/>
        <color indexed="48"/>
        <rFont val="Arial"/>
        <family val="2"/>
      </rPr>
      <t>sense(max)</t>
    </r>
  </si>
  <si>
    <r>
      <t>R</t>
    </r>
    <r>
      <rPr>
        <vertAlign val="subscript"/>
        <sz val="10"/>
        <color indexed="10"/>
        <rFont val="Arial"/>
        <family val="2"/>
      </rPr>
      <t>sense</t>
    </r>
  </si>
  <si>
    <r>
      <t>B</t>
    </r>
    <r>
      <rPr>
        <vertAlign val="subscript"/>
        <sz val="10"/>
        <rFont val="Arial"/>
        <family val="2"/>
      </rPr>
      <t>init</t>
    </r>
  </si>
  <si>
    <r>
      <t>L</t>
    </r>
    <r>
      <rPr>
        <vertAlign val="subscript"/>
        <sz val="10"/>
        <rFont val="Arial"/>
        <family val="2"/>
      </rPr>
      <t>p</t>
    </r>
  </si>
  <si>
    <r>
      <t>N</t>
    </r>
    <r>
      <rPr>
        <vertAlign val="subscript"/>
        <sz val="10"/>
        <rFont val="Arial"/>
        <family val="2"/>
      </rPr>
      <t>1</t>
    </r>
  </si>
  <si>
    <r>
      <t>N</t>
    </r>
    <r>
      <rPr>
        <vertAlign val="subscript"/>
        <sz val="10"/>
        <rFont val="Arial"/>
        <family val="2"/>
      </rPr>
      <t>2</t>
    </r>
  </si>
  <si>
    <t>Gap Length</t>
  </si>
  <si>
    <t>d</t>
  </si>
  <si>
    <t>Enough Space?</t>
  </si>
  <si>
    <r>
      <t>C</t>
    </r>
    <r>
      <rPr>
        <vertAlign val="subscript"/>
        <sz val="10"/>
        <rFont val="Arial"/>
        <family val="2"/>
      </rPr>
      <t>in</t>
    </r>
  </si>
  <si>
    <t>Output Diode</t>
  </si>
  <si>
    <t>Maximum Reverse Voltage</t>
  </si>
  <si>
    <t>Sensing Resistor</t>
  </si>
  <si>
    <r>
      <t>R</t>
    </r>
    <r>
      <rPr>
        <vertAlign val="subscript"/>
        <sz val="10"/>
        <rFont val="Arial"/>
        <family val="2"/>
      </rPr>
      <t>sense</t>
    </r>
  </si>
  <si>
    <t>EI28-Z</t>
  </si>
  <si>
    <t>Wire Dia/(mm)</t>
  </si>
  <si>
    <t>No. of Sec Winding in Parallel</t>
  </si>
  <si>
    <t>No. of Pri Winding in Parallel</t>
  </si>
  <si>
    <t>No. of pri winding in parallel</t>
  </si>
  <si>
    <t>No. of sec winding in parallel</t>
  </si>
  <si>
    <t>Dmax (Vo'=100V)</t>
  </si>
  <si>
    <r>
      <t>I</t>
    </r>
    <r>
      <rPr>
        <vertAlign val="subscript"/>
        <sz val="10"/>
        <rFont val="Arial"/>
        <family val="2"/>
      </rPr>
      <t>in(pk)</t>
    </r>
    <r>
      <rPr>
        <sz val="10"/>
        <rFont val="Arial"/>
        <family val="2"/>
      </rPr>
      <t xml:space="preserve"> (Vo'=100V)</t>
    </r>
  </si>
  <si>
    <t>NCP1200 Design spreadsheet</t>
  </si>
  <si>
    <t>made by Hector NG</t>
  </si>
  <si>
    <t>ON Semiconductor Singapore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</si>
</sst>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0.00000000000"/>
    <numFmt numFmtId="194" formatCode="00000"/>
  </numFmts>
  <fonts count="26">
    <font>
      <sz val="10"/>
      <name val="Geneva"/>
      <family val="2"/>
    </font>
    <font>
      <b/>
      <sz val="10"/>
      <name val="Geneva"/>
      <family val="2"/>
    </font>
    <font>
      <i/>
      <sz val="10"/>
      <name val="Geneva"/>
      <family val="2"/>
    </font>
    <font>
      <b/>
      <i/>
      <sz val="10"/>
      <name val="Geneva"/>
      <family val="2"/>
    </font>
    <font>
      <sz val="10"/>
      <color indexed="10"/>
      <name val="Symbol"/>
      <family val="1"/>
    </font>
    <font>
      <sz val="8"/>
      <name val="Tahoma"/>
      <family val="2"/>
    </font>
    <font>
      <vertAlign val="superscript"/>
      <sz val="8"/>
      <name val="Tahoma"/>
      <family val="2"/>
    </font>
    <font>
      <sz val="8"/>
      <name val="Symbol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vertAlign val="subscript"/>
      <sz val="10"/>
      <color indexed="10"/>
      <name val="Arial"/>
      <family val="2"/>
    </font>
    <font>
      <sz val="10"/>
      <color indexed="12"/>
      <name val="Arial"/>
      <family val="2"/>
    </font>
    <font>
      <vertAlign val="subscript"/>
      <sz val="10"/>
      <name val="Arial"/>
      <family val="2"/>
    </font>
    <font>
      <b/>
      <sz val="10"/>
      <color indexed="56"/>
      <name val="Arial"/>
      <family val="2"/>
    </font>
    <font>
      <vertAlign val="superscript"/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bscript"/>
      <sz val="10"/>
      <color indexed="12"/>
      <name val="Arial"/>
      <family val="2"/>
    </font>
    <font>
      <vertAlign val="subscript"/>
      <sz val="10"/>
      <color indexed="4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9"/>
      <name val="宋体"/>
      <family val="0"/>
    </font>
    <font>
      <b/>
      <sz val="8"/>
      <name val="Genev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Alignment="1">
      <alignment horizontal="left"/>
    </xf>
    <xf numFmtId="0" fontId="12" fillId="0" borderId="0" xfId="0" applyFont="1" applyAlignment="1">
      <alignment/>
    </xf>
    <xf numFmtId="2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1" fontId="9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190" fontId="14" fillId="0" borderId="0" xfId="0" applyNumberFormat="1" applyFont="1" applyAlignment="1" applyProtection="1">
      <alignment/>
      <protection locked="0"/>
    </xf>
    <xf numFmtId="190" fontId="14" fillId="0" borderId="0" xfId="0" applyNumberFormat="1" applyFont="1" applyAlignment="1">
      <alignment/>
    </xf>
    <xf numFmtId="9" fontId="10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>
      <alignment horizontal="right"/>
    </xf>
    <xf numFmtId="2" fontId="9" fillId="0" borderId="0" xfId="0" applyNumberFormat="1" applyFont="1" applyAlignment="1">
      <alignment/>
    </xf>
    <xf numFmtId="0" fontId="9" fillId="0" borderId="0" xfId="0" applyFont="1" applyAlignment="1" quotePrefix="1">
      <alignment horizontal="left"/>
    </xf>
    <xf numFmtId="185" fontId="9" fillId="0" borderId="0" xfId="0" applyNumberFormat="1" applyFont="1" applyAlignment="1">
      <alignment/>
    </xf>
    <xf numFmtId="0" fontId="10" fillId="0" borderId="0" xfId="0" applyFont="1" applyAlignment="1" quotePrefix="1">
      <alignment horizontal="left"/>
    </xf>
    <xf numFmtId="185" fontId="10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 applyProtection="1">
      <alignment/>
      <protection locked="0"/>
    </xf>
    <xf numFmtId="1" fontId="9" fillId="0" borderId="0" xfId="0" applyNumberFormat="1" applyFont="1" applyAlignment="1">
      <alignment/>
    </xf>
    <xf numFmtId="0" fontId="10" fillId="0" borderId="0" xfId="0" applyFont="1" applyAlignment="1" applyProtection="1">
      <alignment/>
      <protection locked="0"/>
    </xf>
    <xf numFmtId="190" fontId="9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90" fontId="12" fillId="0" borderId="0" xfId="0" applyNumberFormat="1" applyFont="1" applyAlignment="1">
      <alignment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>
      <alignment wrapText="1"/>
    </xf>
    <xf numFmtId="186" fontId="17" fillId="0" borderId="0" xfId="0" applyNumberFormat="1" applyFont="1" applyAlignment="1">
      <alignment/>
    </xf>
    <xf numFmtId="0" fontId="10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2" fontId="12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190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2" fontId="10" fillId="0" borderId="0" xfId="0" applyNumberFormat="1" applyFont="1" applyAlignment="1" applyProtection="1">
      <alignment/>
      <protection locked="0"/>
    </xf>
    <xf numFmtId="0" fontId="22" fillId="0" borderId="0" xfId="0" applyFont="1" applyAlignment="1">
      <alignment/>
    </xf>
    <xf numFmtId="185" fontId="9" fillId="0" borderId="0" xfId="0" applyNumberFormat="1" applyFont="1" applyAlignment="1" applyProtection="1">
      <alignment/>
      <protection locked="0"/>
    </xf>
    <xf numFmtId="0" fontId="9" fillId="0" borderId="0" xfId="0" applyFont="1" applyAlignment="1" quotePrefix="1">
      <alignment/>
    </xf>
    <xf numFmtId="1" fontId="9" fillId="0" borderId="0" xfId="0" applyNumberFormat="1" applyFont="1" applyAlignment="1" quotePrefix="1">
      <alignment horizontal="right"/>
    </xf>
    <xf numFmtId="185" fontId="9" fillId="0" borderId="0" xfId="0" applyNumberFormat="1" applyFont="1" applyAlignment="1" applyProtection="1">
      <alignment horizontal="right"/>
      <protection locked="0"/>
    </xf>
    <xf numFmtId="0" fontId="23" fillId="2" borderId="1" xfId="0" applyFont="1" applyFill="1" applyBorder="1" applyAlignment="1">
      <alignment/>
    </xf>
    <xf numFmtId="0" fontId="23" fillId="2" borderId="2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23" fillId="2" borderId="4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23" fillId="2" borderId="5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9" fillId="2" borderId="7" xfId="0" applyFont="1" applyFill="1" applyBorder="1" applyAlignment="1">
      <alignment/>
    </xf>
    <xf numFmtId="0" fontId="9" fillId="2" borderId="0" xfId="0" applyFont="1" applyFill="1" applyAlignment="1">
      <alignment/>
    </xf>
    <xf numFmtId="0" fontId="23" fillId="2" borderId="0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11</xdr:row>
      <xdr:rowOff>0</xdr:rowOff>
    </xdr:from>
    <xdr:to>
      <xdr:col>7</xdr:col>
      <xdr:colOff>323850</xdr:colOff>
      <xdr:row>12</xdr:row>
      <xdr:rowOff>19050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2171700"/>
          <a:ext cx="11906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52</xdr:row>
      <xdr:rowOff>9525</xdr:rowOff>
    </xdr:from>
    <xdr:to>
      <xdr:col>7</xdr:col>
      <xdr:colOff>161925</xdr:colOff>
      <xdr:row>53</xdr:row>
      <xdr:rowOff>47625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9058275"/>
          <a:ext cx="10191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847725</xdr:colOff>
      <xdr:row>5</xdr:row>
      <xdr:rowOff>0</xdr:rowOff>
    </xdr:from>
    <xdr:to>
      <xdr:col>10</xdr:col>
      <xdr:colOff>457200</xdr:colOff>
      <xdr:row>8</xdr:row>
      <xdr:rowOff>0</xdr:rowOff>
    </xdr:to>
    <xdr:sp>
      <xdr:nvSpPr>
        <xdr:cNvPr id="3" name="Rectangle 155"/>
        <xdr:cNvSpPr>
          <a:spLocks/>
        </xdr:cNvSpPr>
      </xdr:nvSpPr>
      <xdr:spPr>
        <a:xfrm>
          <a:off x="6838950" y="885825"/>
          <a:ext cx="307657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 editAs="oneCell">
    <xdr:from>
      <xdr:col>7</xdr:col>
      <xdr:colOff>685800</xdr:colOff>
      <xdr:row>9</xdr:row>
      <xdr:rowOff>0</xdr:rowOff>
    </xdr:from>
    <xdr:to>
      <xdr:col>10</xdr:col>
      <xdr:colOff>9525</xdr:colOff>
      <xdr:row>20</xdr:row>
      <xdr:rowOff>38100</xdr:rowOff>
    </xdr:to>
    <xdr:pic>
      <xdr:nvPicPr>
        <xdr:cNvPr id="4" name="Picture 1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3800" y="1771650"/>
          <a:ext cx="19240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5</xdr:row>
      <xdr:rowOff>0</xdr:rowOff>
    </xdr:from>
    <xdr:to>
      <xdr:col>8</xdr:col>
      <xdr:colOff>9525</xdr:colOff>
      <xdr:row>6</xdr:row>
      <xdr:rowOff>47625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942975"/>
          <a:ext cx="1390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9</xdr:col>
      <xdr:colOff>361950</xdr:colOff>
      <xdr:row>15</xdr:row>
      <xdr:rowOff>0</xdr:rowOff>
    </xdr:to>
    <xdr:sp>
      <xdr:nvSpPr>
        <xdr:cNvPr id="2" name="Rectangle 17"/>
        <xdr:cNvSpPr>
          <a:spLocks/>
        </xdr:cNvSpPr>
      </xdr:nvSpPr>
      <xdr:spPr>
        <a:xfrm>
          <a:off x="5181600" y="2152650"/>
          <a:ext cx="3143250" cy="714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9</xdr:col>
      <xdr:colOff>371475</xdr:colOff>
      <xdr:row>15</xdr:row>
      <xdr:rowOff>0</xdr:rowOff>
    </xdr:to>
    <xdr:sp>
      <xdr:nvSpPr>
        <xdr:cNvPr id="3" name="Rectangle 18"/>
        <xdr:cNvSpPr>
          <a:spLocks/>
        </xdr:cNvSpPr>
      </xdr:nvSpPr>
      <xdr:spPr>
        <a:xfrm>
          <a:off x="5181600" y="2152650"/>
          <a:ext cx="3152775" cy="714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 editAs="oneCell">
    <xdr:from>
      <xdr:col>5</xdr:col>
      <xdr:colOff>466725</xdr:colOff>
      <xdr:row>16</xdr:row>
      <xdr:rowOff>9525</xdr:rowOff>
    </xdr:from>
    <xdr:to>
      <xdr:col>8</xdr:col>
      <xdr:colOff>314325</xdr:colOff>
      <xdr:row>25</xdr:row>
      <xdr:rowOff>104775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3133725"/>
          <a:ext cx="19335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S115"/>
  <sheetViews>
    <sheetView tabSelected="1" workbookViewId="0" topLeftCell="A1">
      <selection activeCell="F56" sqref="F56"/>
    </sheetView>
  </sheetViews>
  <sheetFormatPr defaultColWidth="9.00390625" defaultRowHeight="12.75"/>
  <cols>
    <col min="1" max="1" width="21.75390625" style="4" customWidth="1"/>
    <col min="2" max="13" width="11.375" style="4" customWidth="1"/>
    <col min="14" max="14" width="11.375" style="4" hidden="1" customWidth="1"/>
    <col min="15" max="16384" width="11.375" style="4" customWidth="1"/>
  </cols>
  <sheetData>
    <row r="1" s="3" customFormat="1" ht="12.75">
      <c r="A1" s="2" t="s">
        <v>102</v>
      </c>
    </row>
    <row r="2" s="3" customFormat="1" ht="12.75"/>
    <row r="3" spans="1:3" ht="12.75">
      <c r="A3" s="3" t="s">
        <v>0</v>
      </c>
      <c r="B3" s="4" t="s">
        <v>1</v>
      </c>
      <c r="C3" s="4" t="s">
        <v>1</v>
      </c>
    </row>
    <row r="4" spans="1:7" ht="15.75">
      <c r="A4" s="5" t="s">
        <v>126</v>
      </c>
      <c r="B4" s="6">
        <v>22</v>
      </c>
      <c r="C4" s="7" t="s">
        <v>2</v>
      </c>
      <c r="D4" s="5" t="s">
        <v>3</v>
      </c>
      <c r="E4" s="5"/>
      <c r="G4" s="5" t="s">
        <v>4</v>
      </c>
    </row>
    <row r="5" spans="1:7" ht="15.75">
      <c r="A5" s="5" t="s">
        <v>127</v>
      </c>
      <c r="B5" s="6">
        <v>8</v>
      </c>
      <c r="C5" s="7" t="s">
        <v>2</v>
      </c>
      <c r="D5" s="5" t="s">
        <v>5</v>
      </c>
      <c r="E5" s="5"/>
      <c r="G5" s="8" t="s">
        <v>98</v>
      </c>
    </row>
    <row r="6" spans="1:11" ht="18">
      <c r="A6" s="5" t="s">
        <v>128</v>
      </c>
      <c r="B6" s="6">
        <v>50</v>
      </c>
      <c r="C6" s="7" t="s">
        <v>6</v>
      </c>
      <c r="D6" s="5" t="s">
        <v>7</v>
      </c>
      <c r="E6" s="5"/>
      <c r="H6" s="55" t="s">
        <v>198</v>
      </c>
      <c r="I6" s="47"/>
      <c r="J6" s="47"/>
      <c r="K6" s="50"/>
    </row>
    <row r="7" spans="1:17" ht="18">
      <c r="A7" s="4" t="s">
        <v>129</v>
      </c>
      <c r="B7" s="9">
        <f>SQRT((2*B5^2)-(B17/(B6*(B39/10^6))))</f>
        <v>11.313699881117582</v>
      </c>
      <c r="C7" s="10" t="s">
        <v>2</v>
      </c>
      <c r="D7" s="4" t="s">
        <v>8</v>
      </c>
      <c r="H7" s="55" t="s">
        <v>199</v>
      </c>
      <c r="I7" s="50"/>
      <c r="J7" s="50"/>
      <c r="K7" s="50"/>
      <c r="N7" s="4" t="s">
        <v>110</v>
      </c>
      <c r="O7" s="4" t="s">
        <v>1</v>
      </c>
      <c r="P7" s="4" t="s">
        <v>1</v>
      </c>
      <c r="Q7" s="4" t="s">
        <v>1</v>
      </c>
    </row>
    <row r="8" spans="1:11" ht="18">
      <c r="A8" s="4" t="s">
        <v>130</v>
      </c>
      <c r="B8" s="11">
        <f>MID(G12,1,LEN(G12)-3)*1.15</f>
        <v>69</v>
      </c>
      <c r="C8" s="4" t="s">
        <v>103</v>
      </c>
      <c r="D8" s="4" t="s">
        <v>120</v>
      </c>
      <c r="H8" s="55" t="s">
        <v>200</v>
      </c>
      <c r="I8" s="52"/>
      <c r="J8" s="52"/>
      <c r="K8" s="50"/>
    </row>
    <row r="9" spans="1:14" ht="15.75">
      <c r="A9" s="4" t="s">
        <v>131</v>
      </c>
      <c r="B9" s="11" t="str">
        <f>MID(G12,1,LEN(G12)-3)</f>
        <v>60</v>
      </c>
      <c r="C9" s="4" t="s">
        <v>103</v>
      </c>
      <c r="D9" s="4" t="s">
        <v>107</v>
      </c>
      <c r="N9" s="4" t="s">
        <v>1</v>
      </c>
    </row>
    <row r="10" spans="1:4" ht="15.75">
      <c r="A10" s="4" t="s">
        <v>132</v>
      </c>
      <c r="B10" s="11">
        <f>MID(G12,1,LEN(G12)-3)*0.85</f>
        <v>51</v>
      </c>
      <c r="C10" s="4" t="s">
        <v>103</v>
      </c>
      <c r="D10" s="4" t="s">
        <v>112</v>
      </c>
    </row>
    <row r="11" spans="1:17" ht="15.75">
      <c r="A11" s="5" t="s">
        <v>133</v>
      </c>
      <c r="B11" s="6">
        <v>12</v>
      </c>
      <c r="C11" s="7" t="s">
        <v>2</v>
      </c>
      <c r="D11" s="5" t="s">
        <v>9</v>
      </c>
      <c r="G11" s="3" t="s">
        <v>82</v>
      </c>
      <c r="H11" s="12"/>
      <c r="N11" s="4" t="s">
        <v>99</v>
      </c>
      <c r="O11" s="4" t="s">
        <v>1</v>
      </c>
      <c r="P11" s="4" t="s">
        <v>1</v>
      </c>
      <c r="Q11" s="4" t="s">
        <v>1</v>
      </c>
    </row>
    <row r="12" spans="1:17" ht="15.75">
      <c r="A12" s="5" t="s">
        <v>134</v>
      </c>
      <c r="B12" s="6">
        <v>0.65</v>
      </c>
      <c r="C12" s="7" t="s">
        <v>10</v>
      </c>
      <c r="D12" s="5" t="s">
        <v>11</v>
      </c>
      <c r="G12" s="13" t="s">
        <v>100</v>
      </c>
      <c r="H12" s="14" t="s">
        <v>1</v>
      </c>
      <c r="N12" s="4" t="s">
        <v>100</v>
      </c>
      <c r="O12" s="4" t="s">
        <v>1</v>
      </c>
      <c r="P12" s="4" t="s">
        <v>1</v>
      </c>
      <c r="Q12" s="4" t="s">
        <v>1</v>
      </c>
    </row>
    <row r="13" spans="1:17" ht="12.75">
      <c r="A13" s="1" t="s">
        <v>12</v>
      </c>
      <c r="B13" s="15">
        <v>0.8</v>
      </c>
      <c r="C13" s="5" t="s">
        <v>13</v>
      </c>
      <c r="D13" s="5" t="s">
        <v>14</v>
      </c>
      <c r="N13" s="4" t="s">
        <v>101</v>
      </c>
      <c r="O13" s="4" t="s">
        <v>1</v>
      </c>
      <c r="P13" s="4" t="s">
        <v>1</v>
      </c>
      <c r="Q13" s="4" t="s">
        <v>1</v>
      </c>
    </row>
    <row r="14" spans="1:17" ht="15.75">
      <c r="A14" s="5" t="s">
        <v>135</v>
      </c>
      <c r="B14" s="6">
        <v>40</v>
      </c>
      <c r="C14" s="7" t="s">
        <v>2</v>
      </c>
      <c r="D14" s="5" t="s">
        <v>104</v>
      </c>
      <c r="N14" s="4" t="s">
        <v>1</v>
      </c>
      <c r="O14" s="4" t="s">
        <v>1</v>
      </c>
      <c r="P14" s="4" t="s">
        <v>1</v>
      </c>
      <c r="Q14" s="4" t="s">
        <v>1</v>
      </c>
    </row>
    <row r="15" spans="1:4" ht="15.75">
      <c r="A15" s="5" t="s">
        <v>136</v>
      </c>
      <c r="B15" s="6">
        <v>0.5</v>
      </c>
      <c r="C15" s="7" t="s">
        <v>2</v>
      </c>
      <c r="D15" s="5" t="s">
        <v>105</v>
      </c>
    </row>
    <row r="16" spans="1:2" ht="12.75">
      <c r="A16" s="3"/>
      <c r="B16" s="16"/>
    </row>
    <row r="17" spans="1:4" ht="15.75">
      <c r="A17" s="4" t="s">
        <v>137</v>
      </c>
      <c r="B17" s="9">
        <f>(B11*B12)/B13</f>
        <v>9.75</v>
      </c>
      <c r="C17" s="4" t="s">
        <v>15</v>
      </c>
      <c r="D17" s="4" t="s">
        <v>16</v>
      </c>
    </row>
    <row r="18" spans="1:2" ht="12.75">
      <c r="A18" s="3"/>
      <c r="B18" s="7"/>
    </row>
    <row r="19" spans="1:4" ht="15.75" hidden="1">
      <c r="A19" s="10" t="s">
        <v>197</v>
      </c>
      <c r="B19" s="9">
        <f>(2*B27)/B26</f>
        <v>1.9185740920214127</v>
      </c>
      <c r="C19" s="4" t="s">
        <v>10</v>
      </c>
      <c r="D19" s="4" t="s">
        <v>1</v>
      </c>
    </row>
    <row r="20" spans="1:3" ht="15.75" hidden="1">
      <c r="A20" s="10" t="s">
        <v>138</v>
      </c>
      <c r="B20" s="9">
        <f>SQRT((2*B17)/(B32*B8))</f>
        <v>2.069287301010627</v>
      </c>
      <c r="C20" s="4" t="s">
        <v>10</v>
      </c>
    </row>
    <row r="21" spans="1:4" ht="15.75">
      <c r="A21" s="10" t="s">
        <v>139</v>
      </c>
      <c r="B21" s="9">
        <f>SQRT((2*B17)/(B32*B9))</f>
        <v>2.2190634114964864</v>
      </c>
      <c r="C21" s="4" t="s">
        <v>10</v>
      </c>
      <c r="D21" s="4" t="s">
        <v>119</v>
      </c>
    </row>
    <row r="22" spans="1:7" ht="15.75">
      <c r="A22" s="4" t="s">
        <v>140</v>
      </c>
      <c r="B22" s="9">
        <f>(B7*B25)/(1-B25)</f>
        <v>56.40513435113888</v>
      </c>
      <c r="C22" s="4" t="s">
        <v>2</v>
      </c>
      <c r="D22" s="10" t="s">
        <v>17</v>
      </c>
      <c r="G22" s="7" t="s">
        <v>1</v>
      </c>
    </row>
    <row r="23" spans="1:4" ht="15.75">
      <c r="A23" s="4" t="s">
        <v>141</v>
      </c>
      <c r="B23" s="9">
        <f>SQRT(2)*B4+B22</f>
        <v>87.51783272334697</v>
      </c>
      <c r="C23" s="4" t="s">
        <v>2</v>
      </c>
      <c r="D23" s="10" t="s">
        <v>93</v>
      </c>
    </row>
    <row r="24" spans="2:4" ht="12.75">
      <c r="B24" s="16"/>
      <c r="D24" s="10"/>
    </row>
    <row r="25" spans="1:4" ht="15.75">
      <c r="A25" s="4" t="s">
        <v>142</v>
      </c>
      <c r="B25" s="9">
        <f>(2*B27)/B20</f>
        <v>0.8329312663251882</v>
      </c>
      <c r="D25" s="4" t="s">
        <v>106</v>
      </c>
    </row>
    <row r="26" spans="1:2" ht="12.75" hidden="1">
      <c r="A26" s="4" t="s">
        <v>196</v>
      </c>
      <c r="B26" s="9">
        <f>100/(B7+100)</f>
        <v>0.8983620174946969</v>
      </c>
    </row>
    <row r="27" spans="1:4" ht="15.75">
      <c r="A27" s="4" t="s">
        <v>143</v>
      </c>
      <c r="B27" s="9">
        <f>B17/B7</f>
        <v>0.8617870460107063</v>
      </c>
      <c r="C27" s="4" t="s">
        <v>10</v>
      </c>
      <c r="D27" s="4" t="s">
        <v>18</v>
      </c>
    </row>
    <row r="28" ht="12.75">
      <c r="D28" s="10"/>
    </row>
    <row r="29" spans="1:4" ht="12.75">
      <c r="A29" s="4" t="s">
        <v>19</v>
      </c>
      <c r="B29" s="17">
        <f>(B22/(B11+B15))</f>
        <v>4.51241074809111</v>
      </c>
      <c r="D29" s="4" t="s">
        <v>20</v>
      </c>
    </row>
    <row r="30" ht="12.75">
      <c r="M30" s="3"/>
    </row>
    <row r="31" spans="1:4" ht="15.75">
      <c r="A31" s="18" t="s">
        <v>144</v>
      </c>
      <c r="B31" s="19">
        <f>((2*B17)/(B19^2*B9))</f>
        <v>0.08829298707477168</v>
      </c>
      <c r="C31" s="4" t="s">
        <v>83</v>
      </c>
      <c r="D31" s="4" t="s">
        <v>118</v>
      </c>
    </row>
    <row r="32" spans="1:5" ht="15.75">
      <c r="A32" s="20" t="s">
        <v>145</v>
      </c>
      <c r="B32" s="21">
        <v>0.066</v>
      </c>
      <c r="C32" s="5" t="s">
        <v>83</v>
      </c>
      <c r="D32" s="5" t="s">
        <v>21</v>
      </c>
      <c r="E32" s="5"/>
    </row>
    <row r="33" ht="12.75">
      <c r="A33" s="18"/>
    </row>
    <row r="34" spans="1:4" ht="15.75">
      <c r="A34" s="7" t="s">
        <v>146</v>
      </c>
      <c r="B34" s="22">
        <v>0.25</v>
      </c>
      <c r="C34" s="5" t="s">
        <v>22</v>
      </c>
      <c r="D34" s="5" t="s">
        <v>147</v>
      </c>
    </row>
    <row r="35" spans="1:4" ht="15.75">
      <c r="A35" s="10" t="s">
        <v>148</v>
      </c>
      <c r="B35" s="17">
        <f>B46^2*B34</f>
        <v>0.3417962898430381</v>
      </c>
      <c r="C35" s="4" t="s">
        <v>15</v>
      </c>
      <c r="D35" s="4" t="s">
        <v>108</v>
      </c>
    </row>
    <row r="36" ht="12.75">
      <c r="A36" s="10"/>
    </row>
    <row r="37" spans="1:16" ht="12.75">
      <c r="A37" s="2" t="s">
        <v>96</v>
      </c>
      <c r="B37" s="3"/>
      <c r="C37" s="3"/>
      <c r="D37" s="3"/>
      <c r="E37" s="3"/>
      <c r="M37" s="2"/>
      <c r="N37" s="3"/>
      <c r="O37" s="3"/>
      <c r="P37" s="3"/>
    </row>
    <row r="38" spans="1:16" s="3" customFormat="1" ht="15.75">
      <c r="A38" s="10" t="s">
        <v>149</v>
      </c>
      <c r="B38" s="23">
        <f>((B17/B6)/(0.36*2*B5^2))*10^6</f>
        <v>4231.770833333334</v>
      </c>
      <c r="C38" s="4" t="s">
        <v>23</v>
      </c>
      <c r="D38" s="4" t="s">
        <v>94</v>
      </c>
      <c r="E38" s="4"/>
      <c r="M38" s="10"/>
      <c r="N38" s="4"/>
      <c r="O38" s="4"/>
      <c r="P38" s="4"/>
    </row>
    <row r="39" spans="1:4" ht="15.75">
      <c r="A39" s="7" t="s">
        <v>150</v>
      </c>
      <c r="B39" s="24">
        <v>1000000000</v>
      </c>
      <c r="C39" s="5" t="s">
        <v>23</v>
      </c>
      <c r="D39" s="5" t="s">
        <v>95</v>
      </c>
    </row>
    <row r="40" ht="12.75">
      <c r="A40" s="18"/>
    </row>
    <row r="41" spans="1:13" ht="12.75">
      <c r="A41" s="2" t="s">
        <v>24</v>
      </c>
      <c r="E41" s="2"/>
      <c r="M41" s="10"/>
    </row>
    <row r="42" spans="1:253" ht="15.75">
      <c r="A42" s="10" t="s">
        <v>151</v>
      </c>
      <c r="B42" s="17">
        <f>(2*B12)/(1-B25)</f>
        <v>7.7812285483073325</v>
      </c>
      <c r="C42" s="4" t="s">
        <v>10</v>
      </c>
      <c r="D42" s="4" t="s">
        <v>25</v>
      </c>
      <c r="E42" s="10"/>
      <c r="I42" s="2"/>
      <c r="Q42" s="2"/>
      <c r="U42" s="2"/>
      <c r="Y42" s="2"/>
      <c r="AC42" s="2"/>
      <c r="AG42" s="2"/>
      <c r="AK42" s="2"/>
      <c r="AO42" s="2"/>
      <c r="AS42" s="2"/>
      <c r="AW42" s="2"/>
      <c r="BA42" s="2"/>
      <c r="BE42" s="2"/>
      <c r="BI42" s="2"/>
      <c r="BM42" s="2"/>
      <c r="BQ42" s="2"/>
      <c r="BU42" s="2"/>
      <c r="BY42" s="2"/>
      <c r="CC42" s="2"/>
      <c r="CG42" s="2"/>
      <c r="CK42" s="2"/>
      <c r="CO42" s="2"/>
      <c r="CS42" s="2"/>
      <c r="CW42" s="2"/>
      <c r="DA42" s="2"/>
      <c r="DE42" s="2"/>
      <c r="DI42" s="2"/>
      <c r="DM42" s="2"/>
      <c r="DQ42" s="2"/>
      <c r="DU42" s="2"/>
      <c r="DY42" s="2"/>
      <c r="EC42" s="2"/>
      <c r="EG42" s="2"/>
      <c r="EK42" s="2"/>
      <c r="EO42" s="2"/>
      <c r="ES42" s="2"/>
      <c r="EW42" s="2"/>
      <c r="FA42" s="2"/>
      <c r="FE42" s="2"/>
      <c r="FI42" s="2"/>
      <c r="FM42" s="2"/>
      <c r="FQ42" s="2"/>
      <c r="FU42" s="2"/>
      <c r="FY42" s="2"/>
      <c r="GC42" s="2"/>
      <c r="GG42" s="2"/>
      <c r="GK42" s="2"/>
      <c r="GO42" s="2"/>
      <c r="GS42" s="2"/>
      <c r="GW42" s="2"/>
      <c r="HA42" s="2"/>
      <c r="HE42" s="2"/>
      <c r="HI42" s="2"/>
      <c r="HM42" s="2"/>
      <c r="HQ42" s="2"/>
      <c r="HU42" s="2"/>
      <c r="HY42" s="2"/>
      <c r="IC42" s="2"/>
      <c r="IG42" s="2"/>
      <c r="IK42" s="2"/>
      <c r="IO42" s="2"/>
      <c r="IS42" s="2"/>
    </row>
    <row r="43" spans="1:253" ht="15.75">
      <c r="A43" s="10" t="s">
        <v>152</v>
      </c>
      <c r="B43" s="17">
        <f>SQRT(2)*B4/B29+B11</f>
        <v>18.894917176006135</v>
      </c>
      <c r="C43" s="4" t="s">
        <v>2</v>
      </c>
      <c r="D43" s="4" t="s">
        <v>26</v>
      </c>
      <c r="E43" s="10"/>
      <c r="I43" s="10"/>
      <c r="Q43" s="10"/>
      <c r="U43" s="10"/>
      <c r="Y43" s="10"/>
      <c r="AC43" s="10"/>
      <c r="AG43" s="10"/>
      <c r="AK43" s="10"/>
      <c r="AO43" s="10"/>
      <c r="AS43" s="10"/>
      <c r="AW43" s="10"/>
      <c r="BA43" s="10"/>
      <c r="BE43" s="10"/>
      <c r="BI43" s="10"/>
      <c r="BM43" s="10"/>
      <c r="BQ43" s="10"/>
      <c r="BU43" s="10"/>
      <c r="BY43" s="10"/>
      <c r="CC43" s="10"/>
      <c r="CG43" s="10"/>
      <c r="CK43" s="10"/>
      <c r="CO43" s="10"/>
      <c r="CS43" s="10"/>
      <c r="CW43" s="10"/>
      <c r="DA43" s="10"/>
      <c r="DE43" s="10"/>
      <c r="DI43" s="10"/>
      <c r="DM43" s="10"/>
      <c r="DQ43" s="10"/>
      <c r="DU43" s="10"/>
      <c r="DY43" s="10"/>
      <c r="EC43" s="10"/>
      <c r="EG43" s="10"/>
      <c r="EK43" s="10"/>
      <c r="EO43" s="10"/>
      <c r="ES43" s="10"/>
      <c r="EW43" s="10"/>
      <c r="FA43" s="10"/>
      <c r="FE43" s="10"/>
      <c r="FI43" s="10"/>
      <c r="FM43" s="10"/>
      <c r="FQ43" s="10"/>
      <c r="FU43" s="10"/>
      <c r="FY43" s="10"/>
      <c r="GC43" s="10"/>
      <c r="GG43" s="10"/>
      <c r="GK43" s="10"/>
      <c r="GO43" s="10"/>
      <c r="GS43" s="10"/>
      <c r="GW43" s="10"/>
      <c r="HA43" s="10"/>
      <c r="HE43" s="10"/>
      <c r="HI43" s="10"/>
      <c r="HM43" s="10"/>
      <c r="HQ43" s="10"/>
      <c r="HU43" s="10"/>
      <c r="HY43" s="10"/>
      <c r="IC43" s="10"/>
      <c r="IG43" s="10"/>
      <c r="IK43" s="10"/>
      <c r="IO43" s="10"/>
      <c r="IS43" s="10"/>
    </row>
    <row r="44" spans="1:253" ht="12.75">
      <c r="A44" s="10"/>
      <c r="E44" s="10"/>
      <c r="I44" s="10"/>
      <c r="Q44" s="10"/>
      <c r="U44" s="10"/>
      <c r="Y44" s="10"/>
      <c r="AC44" s="10"/>
      <c r="AG44" s="10"/>
      <c r="AK44" s="10"/>
      <c r="AO44" s="10"/>
      <c r="AS44" s="10"/>
      <c r="AW44" s="10"/>
      <c r="BA44" s="10"/>
      <c r="BE44" s="10"/>
      <c r="BI44" s="10"/>
      <c r="BM44" s="10"/>
      <c r="BQ44" s="10"/>
      <c r="BU44" s="10"/>
      <c r="BY44" s="10"/>
      <c r="CC44" s="10"/>
      <c r="CG44" s="10"/>
      <c r="CK44" s="10"/>
      <c r="CO44" s="10"/>
      <c r="CS44" s="10"/>
      <c r="CW44" s="10"/>
      <c r="DA44" s="10"/>
      <c r="DE44" s="10"/>
      <c r="DI44" s="10"/>
      <c r="DM44" s="10"/>
      <c r="DQ44" s="10"/>
      <c r="DU44" s="10"/>
      <c r="DY44" s="10"/>
      <c r="EC44" s="10"/>
      <c r="EG44" s="10"/>
      <c r="EK44" s="10"/>
      <c r="EO44" s="10"/>
      <c r="ES44" s="10"/>
      <c r="EW44" s="10"/>
      <c r="FA44" s="10"/>
      <c r="FE44" s="10"/>
      <c r="FI44" s="10"/>
      <c r="FM44" s="10"/>
      <c r="FQ44" s="10"/>
      <c r="FU44" s="10"/>
      <c r="FY44" s="10"/>
      <c r="GC44" s="10"/>
      <c r="GG44" s="10"/>
      <c r="GK44" s="10"/>
      <c r="GO44" s="10"/>
      <c r="GS44" s="10"/>
      <c r="GW44" s="10"/>
      <c r="HA44" s="10"/>
      <c r="HE44" s="10"/>
      <c r="HI44" s="10"/>
      <c r="HM44" s="10"/>
      <c r="HQ44" s="10"/>
      <c r="HU44" s="10"/>
      <c r="HY44" s="10"/>
      <c r="IC44" s="10"/>
      <c r="IG44" s="10"/>
      <c r="IK44" s="10"/>
      <c r="IO44" s="10"/>
      <c r="IS44" s="10"/>
    </row>
    <row r="45" spans="1:253" ht="12.75">
      <c r="A45" s="3" t="s">
        <v>27</v>
      </c>
      <c r="I45" s="10"/>
      <c r="Q45" s="10"/>
      <c r="U45" s="10"/>
      <c r="Y45" s="10"/>
      <c r="AC45" s="10"/>
      <c r="AG45" s="10"/>
      <c r="AK45" s="10"/>
      <c r="AO45" s="10"/>
      <c r="AS45" s="10"/>
      <c r="AW45" s="10"/>
      <c r="BA45" s="10"/>
      <c r="BE45" s="10"/>
      <c r="BI45" s="10"/>
      <c r="BM45" s="10"/>
      <c r="BQ45" s="10"/>
      <c r="BU45" s="10"/>
      <c r="BY45" s="10"/>
      <c r="CC45" s="10"/>
      <c r="CG45" s="10"/>
      <c r="CK45" s="10"/>
      <c r="CO45" s="10"/>
      <c r="CS45" s="10"/>
      <c r="CW45" s="10"/>
      <c r="DA45" s="10"/>
      <c r="DE45" s="10"/>
      <c r="DI45" s="10"/>
      <c r="DM45" s="10"/>
      <c r="DQ45" s="10"/>
      <c r="DU45" s="10"/>
      <c r="DY45" s="10"/>
      <c r="EC45" s="10"/>
      <c r="EG45" s="10"/>
      <c r="EK45" s="10"/>
      <c r="EO45" s="10"/>
      <c r="ES45" s="10"/>
      <c r="EW45" s="10"/>
      <c r="FA45" s="10"/>
      <c r="FE45" s="10"/>
      <c r="FI45" s="10"/>
      <c r="FM45" s="10"/>
      <c r="FQ45" s="10"/>
      <c r="FU45" s="10"/>
      <c r="FY45" s="10"/>
      <c r="GC45" s="10"/>
      <c r="GG45" s="10"/>
      <c r="GK45" s="10"/>
      <c r="GO45" s="10"/>
      <c r="GS45" s="10"/>
      <c r="GW45" s="10"/>
      <c r="HA45" s="10"/>
      <c r="HE45" s="10"/>
      <c r="HI45" s="10"/>
      <c r="HM45" s="10"/>
      <c r="HQ45" s="10"/>
      <c r="HU45" s="10"/>
      <c r="HY45" s="10"/>
      <c r="IC45" s="10"/>
      <c r="IG45" s="10"/>
      <c r="IK45" s="10"/>
      <c r="IO45" s="10"/>
      <c r="IS45" s="10"/>
    </row>
    <row r="46" spans="1:4" ht="15.75">
      <c r="A46" s="4" t="s">
        <v>153</v>
      </c>
      <c r="B46" s="17">
        <f>B21*SQRT(B25/3)</f>
        <v>1.1692669324718596</v>
      </c>
      <c r="C46" s="25" t="s">
        <v>10</v>
      </c>
      <c r="D46" s="23" t="s">
        <v>28</v>
      </c>
    </row>
    <row r="47" spans="1:4" ht="15.75">
      <c r="A47" s="4" t="s">
        <v>154</v>
      </c>
      <c r="B47" s="17">
        <f>(2*B12)/SQRT(3*(1-B25))</f>
        <v>1.8362640616933368</v>
      </c>
      <c r="C47" s="4" t="s">
        <v>10</v>
      </c>
      <c r="D47" s="4" t="s">
        <v>29</v>
      </c>
    </row>
    <row r="48" ht="12.75">
      <c r="B48" s="25"/>
    </row>
    <row r="49" spans="1:5" ht="12.75">
      <c r="A49" s="8" t="s">
        <v>30</v>
      </c>
      <c r="B49" s="26">
        <f>INT(B46/(B55*VLOOKUP(G53,$B94:$D115,2,FALSE)))+1</f>
        <v>1</v>
      </c>
      <c r="C49" s="8"/>
      <c r="D49" s="8" t="s">
        <v>194</v>
      </c>
      <c r="E49" s="8"/>
    </row>
    <row r="50" spans="1:5" ht="12.75">
      <c r="A50" s="8" t="s">
        <v>32</v>
      </c>
      <c r="B50" s="26">
        <f>INT(B47/(B55*VLOOKUP(G53,$B94:$D115,2,FALSE)))+1</f>
        <v>2</v>
      </c>
      <c r="C50" s="8"/>
      <c r="D50" s="8" t="s">
        <v>195</v>
      </c>
      <c r="E50" s="8"/>
    </row>
    <row r="51" ht="12.75">
      <c r="B51" s="25"/>
    </row>
    <row r="52" spans="1:7" ht="12.75">
      <c r="A52" s="8" t="s">
        <v>34</v>
      </c>
      <c r="B52" s="27" t="str">
        <f ca="1">IF(((B46/B49)&lt;A94),B94,OFFSET(B94,MATCH(VLOOKUP(B46/B49,$A94:$B115,2),B94:B115,0),0))</f>
        <v>AWG 23</v>
      </c>
      <c r="C52" s="25"/>
      <c r="D52" s="25"/>
      <c r="E52" s="25"/>
      <c r="G52" s="3" t="s">
        <v>84</v>
      </c>
    </row>
    <row r="53" spans="1:8" ht="12.75">
      <c r="A53" s="8" t="s">
        <v>35</v>
      </c>
      <c r="B53" s="27" t="str">
        <f ca="1">IF(((B47/B50)&lt;A94),B94,OFFSET(B94,MATCH(VLOOKUP(B47/B50,$A94:$B115,2),B94:B115,0),0))</f>
        <v>AWG 23</v>
      </c>
      <c r="C53" s="25"/>
      <c r="D53" s="25"/>
      <c r="E53" s="25"/>
      <c r="F53" s="25"/>
      <c r="G53" s="28" t="s">
        <v>57</v>
      </c>
      <c r="H53" s="25" t="s">
        <v>1</v>
      </c>
    </row>
    <row r="54" ht="12.75">
      <c r="B54" s="25"/>
    </row>
    <row r="55" spans="1:3" ht="14.25">
      <c r="A55" s="5" t="s">
        <v>36</v>
      </c>
      <c r="B55" s="24">
        <v>4.5</v>
      </c>
      <c r="C55" s="5" t="s">
        <v>155</v>
      </c>
    </row>
    <row r="56" ht="12.75"/>
    <row r="57" ht="12.75">
      <c r="A57" s="3" t="s">
        <v>61</v>
      </c>
    </row>
    <row r="58" spans="1:2" ht="12.75">
      <c r="A58" s="20" t="s">
        <v>62</v>
      </c>
      <c r="B58" s="24">
        <v>0.345</v>
      </c>
    </row>
    <row r="59" spans="1:2" ht="12.75">
      <c r="A59" s="7" t="s">
        <v>87</v>
      </c>
      <c r="B59" s="24">
        <v>0.4</v>
      </c>
    </row>
    <row r="60" spans="1:6" ht="12.75">
      <c r="A60" s="4" t="s">
        <v>63</v>
      </c>
      <c r="B60" s="4" t="s">
        <v>64</v>
      </c>
      <c r="C60" s="4" t="s">
        <v>65</v>
      </c>
      <c r="D60" s="4" t="s">
        <v>66</v>
      </c>
      <c r="E60" s="4" t="s">
        <v>67</v>
      </c>
      <c r="F60" s="4" t="s">
        <v>68</v>
      </c>
    </row>
    <row r="61" spans="1:6" ht="12.75">
      <c r="A61" s="5" t="s">
        <v>88</v>
      </c>
      <c r="B61" s="31" t="s">
        <v>89</v>
      </c>
      <c r="C61" s="31" t="s">
        <v>190</v>
      </c>
      <c r="D61" s="31" t="s">
        <v>90</v>
      </c>
      <c r="E61" s="31" t="s">
        <v>91</v>
      </c>
      <c r="F61" s="31" t="s">
        <v>92</v>
      </c>
    </row>
    <row r="62" spans="1:8" ht="15.75">
      <c r="A62" s="5" t="s">
        <v>158</v>
      </c>
      <c r="B62" s="32">
        <v>42</v>
      </c>
      <c r="C62" s="32">
        <v>86</v>
      </c>
      <c r="D62" s="32">
        <v>52.5</v>
      </c>
      <c r="E62" s="32">
        <v>60</v>
      </c>
      <c r="F62" s="32">
        <v>83</v>
      </c>
      <c r="G62" s="5" t="s">
        <v>159</v>
      </c>
      <c r="H62" s="5" t="s">
        <v>69</v>
      </c>
    </row>
    <row r="63" spans="1:8" ht="15.75">
      <c r="A63" s="5" t="s">
        <v>160</v>
      </c>
      <c r="B63" s="32">
        <v>0.5</v>
      </c>
      <c r="C63" s="32">
        <v>0.5</v>
      </c>
      <c r="D63" s="32">
        <v>0.5</v>
      </c>
      <c r="E63" s="32">
        <v>0.5</v>
      </c>
      <c r="F63" s="32">
        <v>0.5</v>
      </c>
      <c r="G63" s="5" t="s">
        <v>80</v>
      </c>
      <c r="H63" s="5" t="s">
        <v>70</v>
      </c>
    </row>
    <row r="64" spans="1:8" ht="15.75">
      <c r="A64" s="5" t="s">
        <v>161</v>
      </c>
      <c r="B64" s="32">
        <v>44</v>
      </c>
      <c r="C64" s="32">
        <v>39.4</v>
      </c>
      <c r="D64" s="32">
        <v>61</v>
      </c>
      <c r="E64" s="32">
        <v>90</v>
      </c>
      <c r="F64" s="32">
        <v>108</v>
      </c>
      <c r="G64" s="5" t="s">
        <v>159</v>
      </c>
      <c r="H64" s="5" t="s">
        <v>97</v>
      </c>
    </row>
    <row r="65" spans="1:9" ht="15.75">
      <c r="A65" s="33" t="s">
        <v>162</v>
      </c>
      <c r="B65" s="34">
        <f>B64*B59</f>
        <v>17.6</v>
      </c>
      <c r="C65" s="34">
        <f>C64*B59</f>
        <v>15.76</v>
      </c>
      <c r="D65" s="34">
        <f>D64*B59</f>
        <v>24.400000000000002</v>
      </c>
      <c r="E65" s="34">
        <f>E64*B59</f>
        <v>36</v>
      </c>
      <c r="F65" s="34">
        <f>F64*B59</f>
        <v>43.2</v>
      </c>
      <c r="G65" s="33" t="s">
        <v>163</v>
      </c>
      <c r="H65" s="33" t="s">
        <v>86</v>
      </c>
      <c r="I65" s="33"/>
    </row>
    <row r="66" ht="12.75">
      <c r="A66" s="18"/>
    </row>
    <row r="67" spans="1:7" ht="12.75">
      <c r="A67" s="8" t="s">
        <v>71</v>
      </c>
      <c r="B67" s="35">
        <f>(B32*B21^2*4*PI()*POWER(10,-1))/((B58*B63)^2*B62)</f>
        <v>0.3267877256412105</v>
      </c>
      <c r="C67" s="35">
        <f>(B32*B21^2*4*PI()*POWER(10,-1))/((B58*C63)^2*C62)</f>
        <v>0.15959400554570743</v>
      </c>
      <c r="D67" s="35">
        <f>(B32*B21^2*4*PI()*POWER(10,-1))/((B58*D63)^2*D62)</f>
        <v>0.2614301805129684</v>
      </c>
      <c r="E67" s="35">
        <f>(B32*B21^2*4*PI()*POWER(10,-1))/((B58*E63)^2*E62)</f>
        <v>0.22875140794884732</v>
      </c>
      <c r="F67" s="35">
        <f>(B32*B21^2*4*PI()*POWER(10,-1))/((B58*F63)^2*F62)</f>
        <v>0.16536246357748</v>
      </c>
      <c r="G67" s="8" t="s">
        <v>85</v>
      </c>
    </row>
    <row r="68" ht="12.75"/>
    <row r="69" spans="1:8" ht="15.75">
      <c r="A69" s="8" t="s">
        <v>164</v>
      </c>
      <c r="B69" s="26">
        <f>SQRT((B32*B67)/(4*PI()*POWER(10,-7)*B62))</f>
        <v>20.21507041528891</v>
      </c>
      <c r="C69" s="26">
        <f>SQRT((B32*C67)/(4*PI()*POWER(10,-7)*C62))</f>
        <v>9.872476249327141</v>
      </c>
      <c r="D69" s="26">
        <f>SQRT((B32*D67)/(4*PI()*POWER(10,-7)*D62))</f>
        <v>16.172056332231126</v>
      </c>
      <c r="E69" s="26">
        <f>SQRT((B32*E67)/(4*PI()*POWER(10,-7)*E62))</f>
        <v>14.150549290702235</v>
      </c>
      <c r="F69" s="26">
        <f>SQRT((B32*F67)/(4*PI()*POWER(10,-7)*F62))</f>
        <v>10.229312740266677</v>
      </c>
      <c r="G69" s="8"/>
      <c r="H69" s="8" t="s">
        <v>72</v>
      </c>
    </row>
    <row r="70" spans="1:8" ht="15.75">
      <c r="A70" s="8" t="s">
        <v>165</v>
      </c>
      <c r="B70" s="26">
        <f>B69/B29</f>
        <v>4.479882604623374</v>
      </c>
      <c r="C70" s="26">
        <f>C69/B29</f>
        <v>2.187849644118392</v>
      </c>
      <c r="D70" s="26">
        <f>D69/B29</f>
        <v>3.583906083698699</v>
      </c>
      <c r="E70" s="26">
        <f>E69/B29</f>
        <v>3.1359178232363614</v>
      </c>
      <c r="F70" s="26">
        <f>F69/B29</f>
        <v>2.266928546917852</v>
      </c>
      <c r="G70" s="8"/>
      <c r="H70" s="8" t="s">
        <v>73</v>
      </c>
    </row>
    <row r="71" ht="12.75"/>
    <row r="72" spans="1:8" ht="15.75">
      <c r="A72" s="33" t="s">
        <v>166</v>
      </c>
      <c r="B72" s="36">
        <f>VLOOKUP(B52,$B94:$D115,3,FALSE)</f>
        <v>0.32</v>
      </c>
      <c r="C72" s="36">
        <f>VLOOKUP(B52,$B94:$D115,3,FALSE)</f>
        <v>0.32</v>
      </c>
      <c r="D72" s="36">
        <f>VLOOKUP(B52,$B94:$D115,3,FALSE)</f>
        <v>0.32</v>
      </c>
      <c r="E72" s="36">
        <f>VLOOKUP(B52,$B94:$D115,3,FALSE)</f>
        <v>0.32</v>
      </c>
      <c r="F72" s="36">
        <f>VLOOKUP(B52,$B94:$D115,3,FALSE)</f>
        <v>0.32</v>
      </c>
      <c r="G72" s="33" t="s">
        <v>163</v>
      </c>
      <c r="H72" s="33" t="s">
        <v>74</v>
      </c>
    </row>
    <row r="73" spans="1:8" ht="12.75">
      <c r="A73" s="33" t="s">
        <v>30</v>
      </c>
      <c r="B73" s="37">
        <f>B49</f>
        <v>1</v>
      </c>
      <c r="C73" s="37">
        <f>B49</f>
        <v>1</v>
      </c>
      <c r="D73" s="37">
        <f>B49</f>
        <v>1</v>
      </c>
      <c r="E73" s="37">
        <f>B49</f>
        <v>1</v>
      </c>
      <c r="F73" s="37">
        <f>B49</f>
        <v>1</v>
      </c>
      <c r="G73" s="33"/>
      <c r="H73" s="33" t="s">
        <v>31</v>
      </c>
    </row>
    <row r="74" spans="1:8" ht="15.75">
      <c r="A74" s="4" t="s">
        <v>167</v>
      </c>
      <c r="B74" s="17">
        <f>B69*B72*B73</f>
        <v>6.468822532892451</v>
      </c>
      <c r="C74" s="17">
        <f>C69*C72*C73</f>
        <v>3.1591923997846854</v>
      </c>
      <c r="D74" s="17">
        <f>D69*D72*D73</f>
        <v>5.175058026313961</v>
      </c>
      <c r="E74" s="17">
        <f>E69*E72*E73</f>
        <v>4.528175773024715</v>
      </c>
      <c r="F74" s="17">
        <f>F69*F72*F73</f>
        <v>3.2733800768853367</v>
      </c>
      <c r="G74" s="4" t="s">
        <v>168</v>
      </c>
      <c r="H74" s="4" t="s">
        <v>75</v>
      </c>
    </row>
    <row r="75" spans="1:8" ht="15.75">
      <c r="A75" s="33" t="s">
        <v>169</v>
      </c>
      <c r="B75" s="36">
        <f>VLOOKUP(B53,$B94:$D115,3,FALSE)</f>
        <v>0.32</v>
      </c>
      <c r="C75" s="36">
        <f>VLOOKUP(B53,$B94:$D115,3,FALSE)</f>
        <v>0.32</v>
      </c>
      <c r="D75" s="36">
        <f>VLOOKUP(B53,$B94:$D115,3,FALSE)</f>
        <v>0.32</v>
      </c>
      <c r="E75" s="36">
        <f>VLOOKUP(B53,$B94:$D115,3,FALSE)</f>
        <v>0.32</v>
      </c>
      <c r="F75" s="36">
        <f>VLOOKUP(B53,$B94:$D115,3,FALSE)</f>
        <v>0.32</v>
      </c>
      <c r="G75" s="33" t="s">
        <v>163</v>
      </c>
      <c r="H75" s="33" t="s">
        <v>76</v>
      </c>
    </row>
    <row r="76" spans="1:8" ht="12.75">
      <c r="A76" s="33" t="s">
        <v>32</v>
      </c>
      <c r="B76" s="37">
        <f>B50</f>
        <v>2</v>
      </c>
      <c r="C76" s="37">
        <f>B50</f>
        <v>2</v>
      </c>
      <c r="D76" s="37">
        <f>B50</f>
        <v>2</v>
      </c>
      <c r="E76" s="37">
        <f>B50</f>
        <v>2</v>
      </c>
      <c r="F76" s="37">
        <f>B50</f>
        <v>2</v>
      </c>
      <c r="G76" s="33"/>
      <c r="H76" s="33" t="s">
        <v>33</v>
      </c>
    </row>
    <row r="77" spans="1:8" ht="15.75">
      <c r="A77" s="4" t="s">
        <v>170</v>
      </c>
      <c r="B77" s="17">
        <f>B70*B75*B76</f>
        <v>2.8671248669589597</v>
      </c>
      <c r="C77" s="17">
        <f>C70*C75*C76</f>
        <v>1.4002237722357709</v>
      </c>
      <c r="D77" s="17">
        <f>D70*D75*D76</f>
        <v>2.2936998935671675</v>
      </c>
      <c r="E77" s="17">
        <f>E70*E75*E76</f>
        <v>2.0069874068712714</v>
      </c>
      <c r="F77" s="17">
        <f>F70*F75*F76</f>
        <v>1.4508342700274253</v>
      </c>
      <c r="G77" s="4" t="s">
        <v>168</v>
      </c>
      <c r="H77" s="4" t="s">
        <v>77</v>
      </c>
    </row>
    <row r="78" spans="1:8" ht="15.75">
      <c r="A78" s="4" t="s">
        <v>171</v>
      </c>
      <c r="B78" s="17">
        <f>B74+B77</f>
        <v>9.335947399851412</v>
      </c>
      <c r="C78" s="17">
        <f>C74+C77</f>
        <v>4.559416172020456</v>
      </c>
      <c r="D78" s="17">
        <f>D74+D77</f>
        <v>7.468757919881128</v>
      </c>
      <c r="E78" s="17">
        <f>E74+E77</f>
        <v>6.535163179895987</v>
      </c>
      <c r="F78" s="17">
        <f>F74+F77</f>
        <v>4.7242143469127615</v>
      </c>
      <c r="G78" s="4" t="s">
        <v>168</v>
      </c>
      <c r="H78" s="4" t="s">
        <v>78</v>
      </c>
    </row>
    <row r="79" spans="1:6" ht="12.75">
      <c r="A79" s="8" t="s">
        <v>79</v>
      </c>
      <c r="B79" s="8" t="str">
        <f>IF((B65&gt;B78),"OK","not OK")</f>
        <v>OK</v>
      </c>
      <c r="C79" s="8" t="str">
        <f>IF((C65&gt;C78),"OK","not OK")</f>
        <v>OK</v>
      </c>
      <c r="D79" s="8" t="str">
        <f>IF((D65&gt;D78),"OK","not OK")</f>
        <v>OK</v>
      </c>
      <c r="E79" s="8" t="str">
        <f>IF((E65&gt;E78),"OK","not OK")</f>
        <v>OK</v>
      </c>
      <c r="F79" s="8" t="str">
        <f>IF((F65&gt;F78),"OK","not OK")</f>
        <v>OK</v>
      </c>
    </row>
    <row r="80" ht="12.75"/>
    <row r="81" ht="12.75">
      <c r="A81" s="3" t="s">
        <v>113</v>
      </c>
    </row>
    <row r="82" spans="1:4" ht="15.75">
      <c r="A82" s="5" t="s">
        <v>172</v>
      </c>
      <c r="B82" s="15">
        <v>0.1</v>
      </c>
      <c r="C82" s="38" t="s">
        <v>13</v>
      </c>
      <c r="D82" s="39" t="s">
        <v>109</v>
      </c>
    </row>
    <row r="83" spans="1:4" ht="15.75">
      <c r="A83" s="18" t="s">
        <v>173</v>
      </c>
      <c r="B83" s="19">
        <f>B32*(1-B82)</f>
        <v>0.0594</v>
      </c>
      <c r="C83" s="4" t="s">
        <v>83</v>
      </c>
      <c r="D83" s="4" t="s">
        <v>114</v>
      </c>
    </row>
    <row r="84" spans="1:4" ht="15.75">
      <c r="A84" s="18" t="s">
        <v>174</v>
      </c>
      <c r="B84" s="19">
        <f>B32*(1+B82)</f>
        <v>0.07260000000000001</v>
      </c>
      <c r="C84" s="4" t="s">
        <v>83</v>
      </c>
      <c r="D84" s="4" t="s">
        <v>117</v>
      </c>
    </row>
    <row r="85" spans="1:6" ht="15.75">
      <c r="A85" s="4" t="s">
        <v>175</v>
      </c>
      <c r="B85" s="9">
        <f>SQRT((2*B17)/(B10*B83))</f>
        <v>2.5371082360877084</v>
      </c>
      <c r="C85" s="10" t="s">
        <v>10</v>
      </c>
      <c r="D85" s="4" t="s">
        <v>111</v>
      </c>
      <c r="E85" s="16"/>
      <c r="F85" s="16"/>
    </row>
    <row r="86" spans="1:6" ht="15.75">
      <c r="A86" s="35" t="s">
        <v>176</v>
      </c>
      <c r="B86" s="35">
        <f>1/B85</f>
        <v>0.3941495225848259</v>
      </c>
      <c r="C86" s="8" t="s">
        <v>22</v>
      </c>
      <c r="D86" s="8" t="s">
        <v>115</v>
      </c>
      <c r="E86" s="8"/>
      <c r="F86" s="16"/>
    </row>
    <row r="87" spans="1:6" ht="15.75">
      <c r="A87" s="5" t="s">
        <v>177</v>
      </c>
      <c r="B87" s="40">
        <v>0.33</v>
      </c>
      <c r="C87" s="5" t="s">
        <v>22</v>
      </c>
      <c r="D87" s="5" t="s">
        <v>116</v>
      </c>
      <c r="E87" s="8"/>
      <c r="F87" s="16"/>
    </row>
    <row r="88" spans="1:6" ht="15.75">
      <c r="A88" s="4" t="s">
        <v>178</v>
      </c>
      <c r="B88" s="17">
        <f>((B84*(1/B87))/(B62*B69))*1000</f>
        <v>0.25911832758858966</v>
      </c>
      <c r="C88" s="17" t="s">
        <v>80</v>
      </c>
      <c r="D88" s="4" t="s">
        <v>81</v>
      </c>
      <c r="E88" s="17"/>
      <c r="F88" s="17"/>
    </row>
    <row r="89" ht="12.75">
      <c r="B89" s="17" t="s">
        <v>1</v>
      </c>
    </row>
    <row r="90" ht="12.75"/>
    <row r="91" ht="12.75"/>
    <row r="93" spans="1:5" ht="27">
      <c r="A93" s="29" t="s">
        <v>37</v>
      </c>
      <c r="B93" s="4" t="s">
        <v>38</v>
      </c>
      <c r="C93" s="29" t="s">
        <v>156</v>
      </c>
      <c r="D93" s="29" t="s">
        <v>157</v>
      </c>
      <c r="E93" s="29" t="s">
        <v>191</v>
      </c>
    </row>
    <row r="94" spans="1:5" ht="12.75">
      <c r="A94" s="4">
        <f>B55*C94</f>
        <v>0.018000000000000002</v>
      </c>
      <c r="B94" s="4" t="s">
        <v>39</v>
      </c>
      <c r="C94" s="4">
        <v>0.004</v>
      </c>
      <c r="D94" s="4">
        <v>0.007</v>
      </c>
      <c r="E94" s="17">
        <v>0.07</v>
      </c>
    </row>
    <row r="95" spans="1:7" ht="12.75">
      <c r="A95" s="4">
        <f>B55*C95</f>
        <v>0.0225</v>
      </c>
      <c r="B95" s="4" t="s">
        <v>40</v>
      </c>
      <c r="C95" s="4">
        <v>0.005</v>
      </c>
      <c r="D95" s="4">
        <v>0.008</v>
      </c>
      <c r="E95" s="17">
        <v>0.08</v>
      </c>
      <c r="G95" s="30" t="s">
        <v>1</v>
      </c>
    </row>
    <row r="96" spans="1:5" ht="12.75">
      <c r="A96" s="4">
        <f>B55*C96</f>
        <v>0.027</v>
      </c>
      <c r="B96" s="4" t="s">
        <v>41</v>
      </c>
      <c r="C96" s="4">
        <v>0.006</v>
      </c>
      <c r="D96" s="4">
        <v>0.011</v>
      </c>
      <c r="E96" s="17">
        <v>0.09</v>
      </c>
    </row>
    <row r="97" spans="1:5" ht="12.75">
      <c r="A97" s="4">
        <f>B55*C97</f>
        <v>0.036000000000000004</v>
      </c>
      <c r="B97" s="4" t="s">
        <v>42</v>
      </c>
      <c r="C97" s="4">
        <v>0.008</v>
      </c>
      <c r="D97" s="4">
        <v>0.013</v>
      </c>
      <c r="E97" s="17">
        <v>0.1</v>
      </c>
    </row>
    <row r="98" spans="1:5" ht="12.75">
      <c r="A98" s="4">
        <f>B55*C98</f>
        <v>0.045</v>
      </c>
      <c r="B98" s="4" t="s">
        <v>43</v>
      </c>
      <c r="C98" s="4">
        <v>0.01</v>
      </c>
      <c r="D98" s="4">
        <v>0.016</v>
      </c>
      <c r="E98" s="17">
        <v>0.11</v>
      </c>
    </row>
    <row r="99" spans="1:5" ht="12.75">
      <c r="A99" s="4">
        <f>B55*C99</f>
        <v>0.054</v>
      </c>
      <c r="B99" s="4" t="s">
        <v>44</v>
      </c>
      <c r="C99" s="4">
        <v>0.012</v>
      </c>
      <c r="D99" s="4">
        <v>0.019</v>
      </c>
      <c r="E99" s="17">
        <v>0.13</v>
      </c>
    </row>
    <row r="100" spans="1:5" ht="12.75">
      <c r="A100" s="4">
        <f>B55*C100</f>
        <v>0.07200000000000001</v>
      </c>
      <c r="B100" s="4" t="s">
        <v>45</v>
      </c>
      <c r="C100" s="4">
        <v>0.016</v>
      </c>
      <c r="D100" s="4">
        <v>0.024</v>
      </c>
      <c r="E100" s="17">
        <v>0.14</v>
      </c>
    </row>
    <row r="101" spans="1:5" ht="12.75">
      <c r="A101" s="4">
        <f>B55*C101</f>
        <v>0.09</v>
      </c>
      <c r="B101" s="4" t="s">
        <v>46</v>
      </c>
      <c r="C101" s="4">
        <v>0.02</v>
      </c>
      <c r="D101" s="4">
        <v>0.03</v>
      </c>
      <c r="E101" s="17">
        <v>0.16</v>
      </c>
    </row>
    <row r="102" spans="1:5" ht="12.75">
      <c r="A102" s="4">
        <f>B55*C102</f>
        <v>0.1125</v>
      </c>
      <c r="B102" s="4" t="s">
        <v>47</v>
      </c>
      <c r="C102" s="4">
        <v>0.025</v>
      </c>
      <c r="D102" s="4">
        <v>0.037</v>
      </c>
      <c r="E102" s="17">
        <v>0.18</v>
      </c>
    </row>
    <row r="103" spans="1:5" ht="12.75">
      <c r="A103" s="4">
        <f>B55*C103</f>
        <v>0.135</v>
      </c>
      <c r="B103" s="4" t="s">
        <v>48</v>
      </c>
      <c r="C103" s="4">
        <v>0.03</v>
      </c>
      <c r="D103" s="4">
        <v>0.04</v>
      </c>
      <c r="E103" s="17">
        <v>0.2</v>
      </c>
    </row>
    <row r="104" spans="1:5" ht="12.75">
      <c r="A104" s="4">
        <f>B55*C104</f>
        <v>0.18</v>
      </c>
      <c r="B104" s="4" t="s">
        <v>49</v>
      </c>
      <c r="C104" s="4">
        <v>0.04</v>
      </c>
      <c r="D104" s="4">
        <v>0.06</v>
      </c>
      <c r="E104" s="17">
        <v>0.23</v>
      </c>
    </row>
    <row r="105" spans="1:5" ht="12.75">
      <c r="A105" s="4">
        <f>B55*C105</f>
        <v>0.225</v>
      </c>
      <c r="B105" s="4" t="s">
        <v>50</v>
      </c>
      <c r="C105" s="4">
        <v>0.05</v>
      </c>
      <c r="D105" s="4">
        <v>0.07</v>
      </c>
      <c r="E105" s="17">
        <v>0.25</v>
      </c>
    </row>
    <row r="106" spans="1:5" ht="12.75">
      <c r="A106" s="4">
        <f>B55*C106</f>
        <v>0.27</v>
      </c>
      <c r="B106" s="4" t="s">
        <v>51</v>
      </c>
      <c r="C106" s="4">
        <v>0.06</v>
      </c>
      <c r="D106" s="4">
        <v>0.08</v>
      </c>
      <c r="E106" s="17">
        <v>0.29</v>
      </c>
    </row>
    <row r="107" spans="1:5" ht="12.75">
      <c r="A107" s="4">
        <f>B55*C107</f>
        <v>0.36</v>
      </c>
      <c r="B107" s="4" t="s">
        <v>52</v>
      </c>
      <c r="C107" s="4">
        <v>0.08</v>
      </c>
      <c r="D107" s="4">
        <v>0.11</v>
      </c>
      <c r="E107" s="17">
        <v>0.32</v>
      </c>
    </row>
    <row r="108" spans="1:5" ht="12.75">
      <c r="A108" s="4">
        <f>B55*C108</f>
        <v>0.45</v>
      </c>
      <c r="B108" s="4" t="s">
        <v>53</v>
      </c>
      <c r="C108" s="4">
        <v>0.1</v>
      </c>
      <c r="D108" s="4">
        <v>0.13</v>
      </c>
      <c r="E108" s="17">
        <v>0.36</v>
      </c>
    </row>
    <row r="109" spans="1:5" ht="12.75">
      <c r="A109" s="4">
        <f>B55*C109</f>
        <v>0.585</v>
      </c>
      <c r="B109" s="4" t="s">
        <v>54</v>
      </c>
      <c r="C109" s="4">
        <v>0.13</v>
      </c>
      <c r="D109" s="4">
        <v>0.17</v>
      </c>
      <c r="E109" s="17">
        <v>0.4</v>
      </c>
    </row>
    <row r="110" spans="1:5" ht="12.75">
      <c r="A110" s="4">
        <f>B55*C110</f>
        <v>0.72</v>
      </c>
      <c r="B110" s="4" t="s">
        <v>55</v>
      </c>
      <c r="C110" s="4">
        <v>0.16</v>
      </c>
      <c r="D110" s="4">
        <v>0.21</v>
      </c>
      <c r="E110" s="17">
        <v>0.45</v>
      </c>
    </row>
    <row r="111" spans="1:5" ht="12.75">
      <c r="A111" s="4">
        <f>B55*C111</f>
        <v>0.9</v>
      </c>
      <c r="B111" s="4" t="s">
        <v>56</v>
      </c>
      <c r="C111" s="4">
        <v>0.2</v>
      </c>
      <c r="D111" s="4">
        <v>0.26</v>
      </c>
      <c r="E111" s="17">
        <v>0.51</v>
      </c>
    </row>
    <row r="112" spans="1:5" ht="12.75">
      <c r="A112" s="4">
        <f>B55*C112</f>
        <v>1.17</v>
      </c>
      <c r="B112" s="4" t="s">
        <v>57</v>
      </c>
      <c r="C112" s="4">
        <v>0.26</v>
      </c>
      <c r="D112" s="4">
        <v>0.32</v>
      </c>
      <c r="E112" s="17">
        <v>0.57</v>
      </c>
    </row>
    <row r="113" spans="1:5" ht="12.75">
      <c r="A113" s="4">
        <f>B55*C113</f>
        <v>1.44</v>
      </c>
      <c r="B113" s="4" t="s">
        <v>58</v>
      </c>
      <c r="C113" s="4">
        <v>0.32</v>
      </c>
      <c r="D113" s="4">
        <v>0.4</v>
      </c>
      <c r="E113" s="17">
        <v>0.64</v>
      </c>
    </row>
    <row r="114" spans="1:5" ht="12.75">
      <c r="A114" s="4">
        <f>B55*C114</f>
        <v>1.845</v>
      </c>
      <c r="B114" s="4" t="s">
        <v>59</v>
      </c>
      <c r="C114" s="4">
        <v>0.41</v>
      </c>
      <c r="D114" s="4">
        <v>0.5</v>
      </c>
      <c r="E114" s="17">
        <v>0.72</v>
      </c>
    </row>
    <row r="115" spans="1:5" ht="12.75">
      <c r="A115" s="4">
        <f>B55*C115</f>
        <v>2.34</v>
      </c>
      <c r="B115" s="4" t="s">
        <v>60</v>
      </c>
      <c r="C115" s="4">
        <v>0.52</v>
      </c>
      <c r="D115" s="4">
        <v>0.62</v>
      </c>
      <c r="E115" s="17">
        <v>0.81</v>
      </c>
    </row>
  </sheetData>
  <sheetProtection password="EC20" sheet="1" objects="1" scenarios="1"/>
  <printOptions gridLines="1"/>
  <pageMargins left="0.49" right="0.26" top="0.68" bottom="0.87" header="0.31" footer="0.5"/>
  <pageSetup fitToHeight="1" fitToWidth="1" horizontalDpi="300" verticalDpi="300" orientation="portrait" paperSize="9" scale="49" r:id="rId4"/>
  <headerFooter alignWithMargins="0">
    <oddHeader>&amp;C&amp;A</oddHeader>
    <oddFooter>&amp;CPage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40"/>
  <sheetViews>
    <sheetView workbookViewId="0" topLeftCell="A1">
      <selection activeCell="D16" sqref="D16"/>
    </sheetView>
  </sheetViews>
  <sheetFormatPr defaultColWidth="9.00390625" defaultRowHeight="12.75"/>
  <cols>
    <col min="1" max="1" width="29.00390625" style="4" customWidth="1"/>
    <col min="2" max="2" width="9.125" style="4" customWidth="1"/>
    <col min="3" max="3" width="11.625" style="4" customWidth="1"/>
    <col min="4" max="16384" width="9.125" style="4" customWidth="1"/>
  </cols>
  <sheetData>
    <row r="1" s="3" customFormat="1" ht="20.25">
      <c r="A1" s="41" t="s">
        <v>121</v>
      </c>
    </row>
    <row r="2" spans="1:5" ht="15.75">
      <c r="A2" s="3" t="s">
        <v>21</v>
      </c>
      <c r="B2" s="18" t="s">
        <v>179</v>
      </c>
      <c r="C2" s="42">
        <f>'Single Output Discontinuous'!B32</f>
        <v>0.066</v>
      </c>
      <c r="D2" s="4" t="s">
        <v>83</v>
      </c>
      <c r="E2" s="5"/>
    </row>
    <row r="3" spans="1:5" ht="12.75">
      <c r="A3" s="3" t="s">
        <v>63</v>
      </c>
      <c r="B3" s="18" t="s">
        <v>123</v>
      </c>
      <c r="C3" s="45" t="str">
        <f>HLOOKUP(G6,'Single Output Discontinuous'!B60:F61,2,FALSE)</f>
        <v>E 16/8/5</v>
      </c>
      <c r="E3" s="5"/>
    </row>
    <row r="4" spans="1:3" ht="12.75">
      <c r="A4" s="3" t="s">
        <v>122</v>
      </c>
      <c r="B4" s="43" t="s">
        <v>123</v>
      </c>
      <c r="C4" s="16" t="str">
        <f>'Single Output Discontinuous'!B52</f>
        <v>AWG 23</v>
      </c>
    </row>
    <row r="5" spans="1:7" ht="12.75">
      <c r="A5" s="3" t="s">
        <v>193</v>
      </c>
      <c r="B5" s="43" t="s">
        <v>123</v>
      </c>
      <c r="C5" s="44">
        <f>'Single Output Discontinuous'!B49</f>
        <v>1</v>
      </c>
      <c r="G5" s="3" t="s">
        <v>125</v>
      </c>
    </row>
    <row r="6" spans="1:7" ht="15.75">
      <c r="A6" s="3" t="s">
        <v>72</v>
      </c>
      <c r="B6" s="4" t="s">
        <v>180</v>
      </c>
      <c r="C6" s="11">
        <f>HLOOKUP(G6,'Single Output Discontinuous'!B60:F70,10,FALSE)</f>
        <v>20.21507041528891</v>
      </c>
      <c r="G6" s="28" t="s">
        <v>64</v>
      </c>
    </row>
    <row r="7" spans="1:3" ht="12.75">
      <c r="A7" s="3" t="s">
        <v>124</v>
      </c>
      <c r="B7" s="43" t="s">
        <v>123</v>
      </c>
      <c r="C7" s="16" t="str">
        <f>'Single Output Discontinuous'!B53</f>
        <v>AWG 23</v>
      </c>
    </row>
    <row r="8" spans="1:3" ht="12.75">
      <c r="A8" s="3" t="s">
        <v>192</v>
      </c>
      <c r="B8" s="43" t="s">
        <v>123</v>
      </c>
      <c r="C8" s="44">
        <f>'Single Output Discontinuous'!B50</f>
        <v>2</v>
      </c>
    </row>
    <row r="9" spans="1:3" ht="15.75">
      <c r="A9" s="3" t="s">
        <v>73</v>
      </c>
      <c r="B9" s="4" t="s">
        <v>181</v>
      </c>
      <c r="C9" s="11">
        <f>HLOOKUP(G6,'Single Output Discontinuous'!B60:F70,11,FALSE)</f>
        <v>4.479882604623374</v>
      </c>
    </row>
    <row r="10" spans="1:4" ht="12.75">
      <c r="A10" s="3" t="s">
        <v>182</v>
      </c>
      <c r="B10" s="4" t="s">
        <v>183</v>
      </c>
      <c r="C10" s="17">
        <f>HLOOKUP(G6,'Single Output Discontinuous'!B60:F70,8,FALSE)</f>
        <v>0.3267877256412105</v>
      </c>
      <c r="D10" s="4" t="s">
        <v>85</v>
      </c>
    </row>
    <row r="11" spans="1:7" ht="12.75">
      <c r="A11" s="3" t="s">
        <v>184</v>
      </c>
      <c r="B11" s="43" t="s">
        <v>123</v>
      </c>
      <c r="C11" s="16" t="str">
        <f>HLOOKUP(G6,'Single Output Discontinuous'!B60:F79,20,FALSE)</f>
        <v>OK</v>
      </c>
      <c r="G11" s="4" t="s">
        <v>1</v>
      </c>
    </row>
    <row r="12" spans="1:7" ht="12.75">
      <c r="A12" s="4" t="s">
        <v>1</v>
      </c>
      <c r="G12" s="4" t="s">
        <v>1</v>
      </c>
    </row>
    <row r="13" spans="1:10" ht="20.25">
      <c r="A13" s="41" t="s">
        <v>96</v>
      </c>
      <c r="F13" s="46" t="s">
        <v>198</v>
      </c>
      <c r="G13" s="47"/>
      <c r="H13" s="47"/>
      <c r="I13" s="48"/>
      <c r="J13" s="54"/>
    </row>
    <row r="14" spans="1:10" ht="18">
      <c r="A14" s="3" t="s">
        <v>95</v>
      </c>
      <c r="B14" s="10" t="s">
        <v>185</v>
      </c>
      <c r="C14" s="28">
        <f>'Single Output Discontinuous'!B39</f>
        <v>1000000000</v>
      </c>
      <c r="D14" s="4" t="s">
        <v>23</v>
      </c>
      <c r="F14" s="49" t="s">
        <v>199</v>
      </c>
      <c r="G14" s="50"/>
      <c r="H14" s="50"/>
      <c r="I14" s="50"/>
      <c r="J14" s="54"/>
    </row>
    <row r="15" spans="6:10" ht="18">
      <c r="F15" s="51" t="s">
        <v>200</v>
      </c>
      <c r="G15" s="52"/>
      <c r="H15" s="52"/>
      <c r="I15" s="53"/>
      <c r="J15" s="54"/>
    </row>
    <row r="16" ht="20.25">
      <c r="A16" s="41" t="s">
        <v>186</v>
      </c>
    </row>
    <row r="17" spans="1:4" ht="15.75">
      <c r="A17" s="3" t="s">
        <v>187</v>
      </c>
      <c r="B17" s="10" t="s">
        <v>152</v>
      </c>
      <c r="C17" s="17">
        <f>'Single Output Discontinuous'!B43</f>
        <v>18.894917176006135</v>
      </c>
      <c r="D17" s="4" t="s">
        <v>2</v>
      </c>
    </row>
    <row r="18" ht="12.75">
      <c r="A18" s="3"/>
    </row>
    <row r="19" ht="20.25">
      <c r="A19" s="41" t="s">
        <v>188</v>
      </c>
    </row>
    <row r="20" spans="1:4" ht="15.75">
      <c r="A20" s="3" t="s">
        <v>116</v>
      </c>
      <c r="B20" s="17" t="s">
        <v>189</v>
      </c>
      <c r="C20" s="17">
        <f>'Single Output Discontinuous'!B87</f>
        <v>0.33</v>
      </c>
      <c r="D20" s="4" t="s">
        <v>22</v>
      </c>
    </row>
    <row r="21" ht="12.75"/>
    <row r="22" ht="12.75"/>
    <row r="23" ht="12.75"/>
    <row r="24" ht="12.75"/>
    <row r="25" ht="12.75"/>
    <row r="26" ht="12.75"/>
    <row r="35" ht="12.75" hidden="1">
      <c r="A35" s="4" t="s">
        <v>64</v>
      </c>
    </row>
    <row r="36" ht="12.75" hidden="1">
      <c r="A36" s="4" t="s">
        <v>65</v>
      </c>
    </row>
    <row r="37" ht="12.75" hidden="1">
      <c r="A37" s="4" t="s">
        <v>66</v>
      </c>
    </row>
    <row r="38" ht="12.75" hidden="1">
      <c r="A38" s="4" t="s">
        <v>67</v>
      </c>
    </row>
    <row r="39" ht="12.75" hidden="1">
      <c r="A39" s="4" t="s">
        <v>68</v>
      </c>
    </row>
    <row r="40" ht="12.75">
      <c r="A40" s="4" t="s">
        <v>1</v>
      </c>
    </row>
  </sheetData>
  <sheetProtection password="EC20" sheet="1" objects="1" scenarios="1"/>
  <printOptions/>
  <pageMargins left="0.75" right="0.75" top="1" bottom="1" header="0.5" footer="0.5"/>
  <pageSetup fitToHeight="1" fitToWidth="1" horizontalDpi="600" verticalDpi="600" orientation="portrait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gogol</cp:lastModifiedBy>
  <cp:lastPrinted>2000-08-11T02:33:23Z</cp:lastPrinted>
  <dcterms:created xsi:type="dcterms:W3CDTF">1998-09-03T08:56:19Z</dcterms:created>
  <dcterms:modified xsi:type="dcterms:W3CDTF">2006-02-25T02:56:30Z</dcterms:modified>
  <cp:category/>
  <cp:version/>
  <cp:contentType/>
  <cp:contentStatus/>
</cp:coreProperties>
</file>