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<sst xmlns="http://schemas.openxmlformats.org/spreadsheetml/2006/main" count="113" uniqueCount="84">
  <si>
    <r>
      <t>Input Condition(</t>
    </r>
    <r>
      <rPr>
        <b/>
        <sz val="12"/>
        <color indexed="14"/>
        <rFont val="細明體"/>
        <family val="3"/>
      </rPr>
      <t>輸入基本條件)</t>
    </r>
    <r>
      <rPr>
        <b/>
        <sz val="12"/>
        <color indexed="14"/>
        <rFont val="Times New Roman"/>
        <family val="1"/>
      </rPr>
      <t>:</t>
    </r>
  </si>
  <si>
    <t>Vi(min)dc=</t>
  </si>
  <si>
    <t>(V)</t>
  </si>
  <si>
    <t>Vi(max)dc=</t>
  </si>
  <si>
    <r>
      <t>Vo(</t>
    </r>
    <r>
      <rPr>
        <sz val="10"/>
        <rFont val="細明體"/>
        <family val="3"/>
      </rPr>
      <t>輸出電壓)</t>
    </r>
    <r>
      <rPr>
        <sz val="10"/>
        <rFont val="Times New Roman"/>
        <family val="1"/>
      </rPr>
      <t>=</t>
    </r>
  </si>
  <si>
    <r>
      <t>Io(</t>
    </r>
    <r>
      <rPr>
        <sz val="10"/>
        <rFont val="細明體"/>
        <family val="3"/>
      </rPr>
      <t>輸出電流)</t>
    </r>
    <r>
      <rPr>
        <sz val="10"/>
        <rFont val="Times New Roman"/>
        <family val="1"/>
      </rPr>
      <t>=</t>
    </r>
  </si>
  <si>
    <t>(A)</t>
  </si>
  <si>
    <r>
      <t xml:space="preserve">Vcc(min </t>
    </r>
    <r>
      <rPr>
        <sz val="9"/>
        <rFont val="細明體"/>
        <family val="3"/>
      </rPr>
      <t>輔助繞組電壓</t>
    </r>
    <r>
      <rPr>
        <sz val="9"/>
        <rFont val="Times New Roman"/>
        <family val="1"/>
      </rPr>
      <t>)</t>
    </r>
  </si>
  <si>
    <r>
      <t>Frequcy(</t>
    </r>
    <r>
      <rPr>
        <sz val="10"/>
        <rFont val="細明體"/>
        <family val="3"/>
      </rPr>
      <t>工作頻率)</t>
    </r>
    <r>
      <rPr>
        <sz val="10"/>
        <rFont val="Times New Roman"/>
        <family val="1"/>
      </rPr>
      <t>=</t>
    </r>
  </si>
  <si>
    <t>(HZ)</t>
  </si>
  <si>
    <r>
      <t>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</rPr>
      <t>效率</t>
    </r>
    <r>
      <rPr>
        <sz val="10"/>
        <color indexed="8"/>
        <rFont val="Times New Roman"/>
        <family val="1"/>
      </rPr>
      <t>)=</t>
    </r>
  </si>
  <si>
    <r>
      <t>B(</t>
    </r>
    <r>
      <rPr>
        <sz val="10"/>
        <rFont val="細明體"/>
        <family val="3"/>
      </rPr>
      <t>磁通密度)</t>
    </r>
    <r>
      <rPr>
        <sz val="10"/>
        <rFont val="Times New Roman"/>
        <family val="1"/>
      </rPr>
      <t>=</t>
    </r>
  </si>
  <si>
    <r>
      <t>Ae(</t>
    </r>
    <r>
      <rPr>
        <sz val="10"/>
        <rFont val="細明體"/>
        <family val="3"/>
      </rPr>
      <t>鐵心面積</t>
    </r>
    <r>
      <rPr>
        <sz val="10"/>
        <rFont val="Times New Roman"/>
        <family val="1"/>
      </rPr>
      <t>)=</t>
    </r>
  </si>
  <si>
    <t>(cm2)</t>
  </si>
  <si>
    <t>Solution(at low line):</t>
  </si>
  <si>
    <r>
      <t>Po(</t>
    </r>
    <r>
      <rPr>
        <sz val="11"/>
        <rFont val="新細明體"/>
        <family val="1"/>
      </rPr>
      <t>輸出工率</t>
    </r>
    <r>
      <rPr>
        <sz val="11"/>
        <rFont val="Times New Roman"/>
        <family val="1"/>
      </rPr>
      <t>)=</t>
    </r>
  </si>
  <si>
    <t>(W)</t>
  </si>
  <si>
    <t>m(H)</t>
  </si>
  <si>
    <t xml:space="preserve"> </t>
  </si>
  <si>
    <r>
      <t>Ic(rms)</t>
    </r>
    <r>
      <rPr>
        <sz val="11"/>
        <rFont val="細明體"/>
        <family val="3"/>
      </rPr>
      <t>電容漣波</t>
    </r>
    <r>
      <rPr>
        <sz val="11"/>
        <rFont val="Times New Roman"/>
        <family val="1"/>
      </rPr>
      <t>=</t>
    </r>
  </si>
  <si>
    <r>
      <t>n(</t>
    </r>
    <r>
      <rPr>
        <sz val="11"/>
        <rFont val="細明體"/>
        <family val="3"/>
      </rPr>
      <t>匝數比</t>
    </r>
    <r>
      <rPr>
        <sz val="11"/>
        <rFont val="Times New Roman"/>
        <family val="1"/>
      </rPr>
      <t>)=</t>
    </r>
  </si>
  <si>
    <r>
      <t>Np(</t>
    </r>
    <r>
      <rPr>
        <sz val="11"/>
        <rFont val="新細明體"/>
        <family val="1"/>
      </rPr>
      <t>主匝數</t>
    </r>
    <r>
      <rPr>
        <sz val="11"/>
        <rFont val="Times New Roman"/>
        <family val="1"/>
      </rPr>
      <t>)=</t>
    </r>
  </si>
  <si>
    <t>(Ts)</t>
  </si>
  <si>
    <r>
      <t>Ns(</t>
    </r>
    <r>
      <rPr>
        <sz val="11"/>
        <rFont val="新細明體"/>
        <family val="1"/>
      </rPr>
      <t>次匝數</t>
    </r>
    <r>
      <rPr>
        <sz val="11"/>
        <rFont val="Times New Roman"/>
        <family val="1"/>
      </rPr>
      <t>)=</t>
    </r>
  </si>
  <si>
    <r>
      <t>Np'(</t>
    </r>
    <r>
      <rPr>
        <sz val="11"/>
        <rFont val="細明體"/>
        <family val="3"/>
      </rPr>
      <t>輔助繞組</t>
    </r>
    <r>
      <rPr>
        <sz val="11"/>
        <rFont val="Times New Roman"/>
        <family val="1"/>
      </rPr>
      <t>)=</t>
    </r>
  </si>
  <si>
    <r>
      <t>Ip(rms</t>
    </r>
    <r>
      <rPr>
        <sz val="11"/>
        <rFont val="Times New Roman"/>
        <family val="1"/>
      </rPr>
      <t>)=</t>
    </r>
  </si>
  <si>
    <t>Is(rms)=</t>
  </si>
  <si>
    <t>一次線徑Φ</t>
  </si>
  <si>
    <t>(mm)</t>
  </si>
  <si>
    <t>二次線徑Φ</t>
  </si>
  <si>
    <t>輔助線徑Φ</t>
  </si>
  <si>
    <t>Solution(at high line):</t>
  </si>
  <si>
    <r>
      <t>Vrr(</t>
    </r>
    <r>
      <rPr>
        <sz val="11"/>
        <rFont val="新細明體"/>
        <family val="1"/>
      </rPr>
      <t>二極耐壓</t>
    </r>
    <r>
      <rPr>
        <sz val="11"/>
        <rFont val="Times New Roman"/>
        <family val="1"/>
      </rPr>
      <t>)=</t>
    </r>
  </si>
  <si>
    <r>
      <t>Vp'(</t>
    </r>
    <r>
      <rPr>
        <sz val="11"/>
        <rFont val="新細明體"/>
        <family val="1"/>
      </rPr>
      <t>輔助電壓</t>
    </r>
    <r>
      <rPr>
        <sz val="11"/>
        <rFont val="Times New Roman"/>
        <family val="1"/>
      </rPr>
      <t>)=</t>
    </r>
  </si>
  <si>
    <r>
      <t>V(mos</t>
    </r>
    <r>
      <rPr>
        <sz val="11"/>
        <rFont val="細明體"/>
        <family val="3"/>
      </rPr>
      <t>耐壓</t>
    </r>
    <r>
      <rPr>
        <sz val="11"/>
        <rFont val="Times New Roman"/>
        <family val="1"/>
      </rPr>
      <t>)=</t>
    </r>
  </si>
  <si>
    <r>
      <t>f(</t>
    </r>
    <r>
      <rPr>
        <sz val="11"/>
        <rFont val="新細明體"/>
        <family val="1"/>
      </rPr>
      <t>最大工作頻率</t>
    </r>
    <r>
      <rPr>
        <sz val="11"/>
        <rFont val="Times New Roman"/>
        <family val="1"/>
      </rPr>
      <t>)=</t>
    </r>
  </si>
  <si>
    <r>
      <t>B(</t>
    </r>
    <r>
      <rPr>
        <sz val="11"/>
        <rFont val="新細明體"/>
        <family val="1"/>
      </rPr>
      <t>磁通密度</t>
    </r>
    <r>
      <rPr>
        <sz val="11"/>
        <rFont val="Times New Roman"/>
        <family val="1"/>
      </rPr>
      <t>)=</t>
    </r>
  </si>
  <si>
    <r>
      <t>壽命推算</t>
    </r>
    <r>
      <rPr>
        <b/>
        <sz val="12"/>
        <color indexed="14"/>
        <rFont val="Times New Roman"/>
        <family val="1"/>
      </rPr>
      <t>(at low line):</t>
    </r>
  </si>
  <si>
    <t>Load Life=</t>
  </si>
  <si>
    <t>hrs</t>
  </si>
  <si>
    <r>
      <t>(</t>
    </r>
    <r>
      <rPr>
        <sz val="12"/>
        <rFont val="新細明體"/>
        <family val="0"/>
      </rPr>
      <t>電容保證之壽命</t>
    </r>
    <r>
      <rPr>
        <sz val="12"/>
        <rFont val="Times New Roman"/>
        <family val="1"/>
      </rPr>
      <t>)</t>
    </r>
  </si>
  <si>
    <r>
      <t>溫差△t</t>
    </r>
    <r>
      <rPr>
        <sz val="12"/>
        <color indexed="10"/>
        <rFont val="Times New Roman"/>
        <family val="1"/>
      </rPr>
      <t>=</t>
    </r>
  </si>
  <si>
    <t>℃</t>
  </si>
  <si>
    <r>
      <t>(</t>
    </r>
    <r>
      <rPr>
        <sz val="12"/>
        <rFont val="新細明體"/>
        <family val="0"/>
      </rPr>
      <t>保證之最大溫度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0"/>
      </rPr>
      <t>環境溫度</t>
    </r>
    <r>
      <rPr>
        <sz val="12"/>
        <rFont val="Times New Roman"/>
        <family val="1"/>
      </rPr>
      <t>)</t>
    </r>
  </si>
  <si>
    <t>Ripple Current=</t>
  </si>
  <si>
    <r>
      <t>(</t>
    </r>
    <r>
      <rPr>
        <sz val="12"/>
        <rFont val="新細明體"/>
        <family val="0"/>
      </rPr>
      <t>電容保證之紋波電流</t>
    </r>
    <r>
      <rPr>
        <sz val="12"/>
        <rFont val="Times New Roman"/>
        <family val="1"/>
      </rPr>
      <t>)</t>
    </r>
  </si>
  <si>
    <t>Io(A)</t>
  </si>
  <si>
    <t>Icrms(A)</t>
  </si>
  <si>
    <t>L(hours)</t>
  </si>
  <si>
    <t>L(year)</t>
  </si>
  <si>
    <r>
      <t>(</t>
    </r>
    <r>
      <rPr>
        <sz val="12"/>
        <rFont val="細明體"/>
        <family val="3"/>
      </rPr>
      <t>輸出電流</t>
    </r>
    <r>
      <rPr>
        <sz val="12"/>
        <rFont val="Times New Roman"/>
        <family val="1"/>
      </rPr>
      <t xml:space="preserve">) </t>
    </r>
  </si>
  <si>
    <r>
      <t>(</t>
    </r>
    <r>
      <rPr>
        <sz val="12"/>
        <rFont val="細明體"/>
        <family val="3"/>
      </rPr>
      <t>計算之紋波電流</t>
    </r>
    <r>
      <rPr>
        <sz val="12"/>
        <rFont val="Times New Roman"/>
        <family val="1"/>
      </rPr>
      <t>)</t>
    </r>
  </si>
  <si>
    <r>
      <t>(</t>
    </r>
    <r>
      <rPr>
        <sz val="10"/>
        <rFont val="細明體"/>
        <family val="3"/>
      </rPr>
      <t>計算之壽命</t>
    </r>
    <r>
      <rPr>
        <sz val="10"/>
        <rFont val="Times New Roman"/>
        <family val="1"/>
      </rPr>
      <t>)</t>
    </r>
  </si>
  <si>
    <r>
      <t>Ip1(</t>
    </r>
    <r>
      <rPr>
        <sz val="11"/>
        <rFont val="細明體"/>
        <family val="3"/>
      </rPr>
      <t>電流</t>
    </r>
    <r>
      <rPr>
        <sz val="11"/>
        <rFont val="Times New Roman"/>
        <family val="1"/>
      </rPr>
      <t>CCM)=</t>
    </r>
  </si>
  <si>
    <r>
      <t>Ip2(</t>
    </r>
    <r>
      <rPr>
        <sz val="11"/>
        <rFont val="細明體"/>
        <family val="3"/>
      </rPr>
      <t>電流</t>
    </r>
    <r>
      <rPr>
        <sz val="11"/>
        <rFont val="Times New Roman"/>
        <family val="1"/>
      </rPr>
      <t>CCM)=</t>
    </r>
  </si>
  <si>
    <r>
      <t>Dmax(</t>
    </r>
    <r>
      <rPr>
        <sz val="10"/>
        <rFont val="細明體"/>
        <family val="3"/>
      </rPr>
      <t>工作週期)</t>
    </r>
    <r>
      <rPr>
        <sz val="10"/>
        <rFont val="Times New Roman"/>
        <family val="1"/>
      </rPr>
      <t>=</t>
    </r>
  </si>
  <si>
    <r>
      <t>△</t>
    </r>
    <r>
      <rPr>
        <sz val="11"/>
        <rFont val="Times New Roman"/>
        <family val="1"/>
      </rPr>
      <t>Ip(</t>
    </r>
    <r>
      <rPr>
        <sz val="11"/>
        <rFont val="細明體"/>
        <family val="3"/>
      </rPr>
      <t>電流</t>
    </r>
    <r>
      <rPr>
        <sz val="11"/>
        <rFont val="Times New Roman"/>
        <family val="1"/>
      </rPr>
      <t>CCM)=</t>
    </r>
  </si>
  <si>
    <r>
      <t>Vd(</t>
    </r>
    <r>
      <rPr>
        <sz val="10"/>
        <rFont val="細明體"/>
        <family val="3"/>
      </rPr>
      <t>整流二极體電壓</t>
    </r>
    <r>
      <rPr>
        <sz val="10"/>
        <rFont val="Times New Roman"/>
        <family val="1"/>
      </rPr>
      <t>)=</t>
    </r>
  </si>
  <si>
    <t>(V)</t>
  </si>
  <si>
    <r>
      <t>Dmin(</t>
    </r>
    <r>
      <rPr>
        <sz val="11"/>
        <rFont val="細明體"/>
        <family val="3"/>
      </rPr>
      <t>工作週期)</t>
    </r>
    <r>
      <rPr>
        <sz val="11"/>
        <rFont val="Times New Roman"/>
        <family val="1"/>
      </rPr>
      <t>=</t>
    </r>
  </si>
  <si>
    <t>選用</t>
  </si>
  <si>
    <r>
      <t>Np'(</t>
    </r>
    <r>
      <rPr>
        <sz val="11"/>
        <rFont val="細明體"/>
        <family val="3"/>
      </rPr>
      <t>輔助繞組</t>
    </r>
    <r>
      <rPr>
        <sz val="11"/>
        <rFont val="Times New Roman"/>
        <family val="1"/>
      </rPr>
      <t>)=</t>
    </r>
  </si>
  <si>
    <t>(Ts)</t>
  </si>
  <si>
    <r>
      <t>Ns(</t>
    </r>
    <r>
      <rPr>
        <sz val="11"/>
        <rFont val="新細明體"/>
        <family val="1"/>
      </rPr>
      <t>次匝數</t>
    </r>
    <r>
      <rPr>
        <sz val="11"/>
        <rFont val="Times New Roman"/>
        <family val="1"/>
      </rPr>
      <t>)=</t>
    </r>
  </si>
  <si>
    <r>
      <t>Np(</t>
    </r>
    <r>
      <rPr>
        <sz val="11"/>
        <rFont val="新細明體"/>
        <family val="1"/>
      </rPr>
      <t>主匝數</t>
    </r>
    <r>
      <rPr>
        <sz val="11"/>
        <rFont val="Times New Roman"/>
        <family val="1"/>
      </rPr>
      <t>)=</t>
    </r>
  </si>
  <si>
    <r>
      <t>n(</t>
    </r>
    <r>
      <rPr>
        <sz val="11"/>
        <rFont val="細明體"/>
        <family val="3"/>
      </rPr>
      <t>匝數比</t>
    </r>
    <r>
      <rPr>
        <sz val="11"/>
        <rFont val="Times New Roman"/>
        <family val="1"/>
      </rPr>
      <t>)=</t>
    </r>
  </si>
  <si>
    <r>
      <t>D(</t>
    </r>
    <r>
      <rPr>
        <sz val="11"/>
        <rFont val="細明體"/>
        <family val="3"/>
      </rPr>
      <t>工作週期)</t>
    </r>
    <r>
      <rPr>
        <sz val="11"/>
        <rFont val="Times New Roman"/>
        <family val="1"/>
      </rPr>
      <t>=</t>
    </r>
  </si>
  <si>
    <r>
      <t>B(</t>
    </r>
    <r>
      <rPr>
        <sz val="11"/>
        <rFont val="細明體"/>
        <family val="3"/>
      </rPr>
      <t>磁通密度)</t>
    </r>
    <r>
      <rPr>
        <sz val="11"/>
        <rFont val="Times New Roman"/>
        <family val="1"/>
      </rPr>
      <t>=</t>
    </r>
  </si>
  <si>
    <r>
      <t>Lp(</t>
    </r>
    <r>
      <rPr>
        <sz val="11"/>
        <rFont val="新細明體"/>
        <family val="1"/>
      </rPr>
      <t>主電感</t>
    </r>
    <r>
      <rPr>
        <sz val="11"/>
        <rFont val="Times New Roman"/>
        <family val="1"/>
      </rPr>
      <t>)=</t>
    </r>
  </si>
  <si>
    <r>
      <t>Lp(</t>
    </r>
    <r>
      <rPr>
        <sz val="11"/>
        <rFont val="細明體"/>
        <family val="3"/>
      </rPr>
      <t>主電感</t>
    </r>
    <r>
      <rPr>
        <sz val="11"/>
        <rFont val="Times New Roman"/>
        <family val="1"/>
      </rPr>
      <t>)=</t>
    </r>
  </si>
  <si>
    <r>
      <t>Ip2(</t>
    </r>
    <r>
      <rPr>
        <sz val="10"/>
        <rFont val="細明體"/>
        <family val="3"/>
      </rPr>
      <t>電流</t>
    </r>
    <r>
      <rPr>
        <sz val="10"/>
        <rFont val="Times New Roman"/>
        <family val="1"/>
      </rPr>
      <t>CCM)=</t>
    </r>
  </si>
  <si>
    <t>Ip1</t>
  </si>
  <si>
    <t>(A)</t>
  </si>
  <si>
    <t>A</t>
  </si>
  <si>
    <r>
      <t>每天工作時間</t>
    </r>
    <r>
      <rPr>
        <sz val="12"/>
        <rFont val="Times New Roman"/>
        <family val="1"/>
      </rPr>
      <t>=</t>
    </r>
  </si>
  <si>
    <t>hrs</t>
  </si>
  <si>
    <r>
      <t>Vf(</t>
    </r>
    <r>
      <rPr>
        <sz val="10"/>
        <rFont val="細明體"/>
        <family val="3"/>
      </rPr>
      <t>反壓降</t>
    </r>
    <r>
      <rPr>
        <sz val="10"/>
        <rFont val="Times New Roman"/>
        <family val="1"/>
      </rPr>
      <t>)=</t>
    </r>
  </si>
  <si>
    <r>
      <t>Ic(rms)</t>
    </r>
    <r>
      <rPr>
        <sz val="11"/>
        <rFont val="細明體"/>
        <family val="3"/>
      </rPr>
      <t>電容漣波</t>
    </r>
    <r>
      <rPr>
        <sz val="11"/>
        <rFont val="Times New Roman"/>
        <family val="1"/>
      </rPr>
      <t>=</t>
    </r>
  </si>
  <si>
    <t>高壓入力</t>
  </si>
  <si>
    <r>
      <t xml:space="preserve">For </t>
    </r>
    <r>
      <rPr>
        <sz val="24"/>
        <color indexed="14"/>
        <rFont val="細明體"/>
        <family val="3"/>
      </rPr>
      <t>單端反激式電源變壓器的設計</t>
    </r>
  </si>
  <si>
    <r>
      <t>設</t>
    </r>
    <r>
      <rPr>
        <sz val="10"/>
        <rFont val="Times New Roman"/>
        <family val="1"/>
      </rPr>
      <t>Ip1=</t>
    </r>
  </si>
  <si>
    <t>Ip2(MAX)=</t>
  </si>
  <si>
    <r>
      <t>LP(</t>
    </r>
    <r>
      <rPr>
        <sz val="11"/>
        <rFont val="細明體"/>
        <family val="3"/>
      </rPr>
      <t>主電感</t>
    </r>
    <r>
      <rPr>
        <sz val="11"/>
        <rFont val="Times New Roman"/>
        <family val="1"/>
      </rPr>
      <t>MIN)=</t>
    </r>
  </si>
  <si>
    <t>臨界電感量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</si>
</sst>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_);[Red]\(0.000\)"/>
  </numFmts>
  <fonts count="32">
    <font>
      <sz val="12"/>
      <name val="新細明體"/>
      <family val="0"/>
    </font>
    <font>
      <sz val="9"/>
      <name val="新細明體"/>
      <family val="1"/>
    </font>
    <font>
      <sz val="9"/>
      <name val="細明體"/>
      <family val="3"/>
    </font>
    <font>
      <b/>
      <sz val="12"/>
      <color indexed="14"/>
      <name val="Times New Roman"/>
      <family val="1"/>
    </font>
    <font>
      <b/>
      <sz val="12"/>
      <color indexed="14"/>
      <name val="細明體"/>
      <family val="3"/>
    </font>
    <font>
      <sz val="10"/>
      <name val="Times New Roman"/>
      <family val="1"/>
    </font>
    <font>
      <sz val="11"/>
      <color indexed="57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sz val="11"/>
      <color indexed="57"/>
      <name val="Times New Roman"/>
      <family val="1"/>
    </font>
    <font>
      <sz val="10"/>
      <name val="細明體"/>
      <family val="3"/>
    </font>
    <font>
      <sz val="9"/>
      <name val="Times New Roman"/>
      <family val="1"/>
    </font>
    <font>
      <sz val="11"/>
      <color indexed="10"/>
      <name val="新細明體"/>
      <family val="1"/>
    </font>
    <font>
      <sz val="10"/>
      <color indexed="8"/>
      <name val="細明體"/>
      <family val="3"/>
    </font>
    <font>
      <sz val="10"/>
      <color indexed="8"/>
      <name val="Times New Roman"/>
      <family val="1"/>
    </font>
    <font>
      <sz val="11"/>
      <name val="細明體"/>
      <family val="3"/>
    </font>
    <font>
      <sz val="11"/>
      <color indexed="12"/>
      <name val="Times New Roman"/>
      <family val="1"/>
    </font>
    <font>
      <sz val="11"/>
      <color indexed="12"/>
      <name val="新細明體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新細明體"/>
      <family val="1"/>
    </font>
    <font>
      <sz val="12"/>
      <color indexed="12"/>
      <name val="Times New Roman"/>
      <family val="1"/>
    </font>
    <font>
      <b/>
      <sz val="12"/>
      <color indexed="14"/>
      <name val="新細明體"/>
      <family val="1"/>
    </font>
    <font>
      <sz val="12"/>
      <color indexed="10"/>
      <name val="Times New Roman"/>
      <family val="1"/>
    </font>
    <font>
      <sz val="12"/>
      <color indexed="57"/>
      <name val="新細明體"/>
      <family val="1"/>
    </font>
    <font>
      <sz val="12"/>
      <color indexed="10"/>
      <name val="細明體"/>
      <family val="3"/>
    </font>
    <font>
      <sz val="12"/>
      <name val="細明體"/>
      <family val="3"/>
    </font>
    <font>
      <sz val="12"/>
      <color indexed="12"/>
      <name val="新細明體"/>
      <family val="1"/>
    </font>
    <font>
      <sz val="24"/>
      <color indexed="14"/>
      <name val="Times New Roman"/>
      <family val="1"/>
    </font>
    <font>
      <sz val="24"/>
      <color indexed="14"/>
      <name val="細明體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3" fillId="0" borderId="1" xfId="0" applyFont="1" applyBorder="1" applyAlignment="1">
      <alignment/>
    </xf>
    <xf numFmtId="177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8" fillId="0" borderId="5" xfId="0" applyFont="1" applyBorder="1" applyAlignment="1">
      <alignment/>
    </xf>
    <xf numFmtId="177" fontId="9" fillId="0" borderId="0" xfId="0" applyNumberFormat="1" applyFont="1" applyBorder="1" applyAlignment="1">
      <alignment horizontal="right"/>
    </xf>
    <xf numFmtId="44" fontId="0" fillId="0" borderId="0" xfId="18" applyBorder="1" applyAlignment="1">
      <alignment/>
    </xf>
    <xf numFmtId="0" fontId="11" fillId="0" borderId="4" xfId="0" applyFont="1" applyBorder="1" applyAlignment="1">
      <alignment horizontal="right"/>
    </xf>
    <xf numFmtId="0" fontId="0" fillId="0" borderId="5" xfId="0" applyBorder="1" applyAlignment="1">
      <alignment/>
    </xf>
    <xf numFmtId="0" fontId="13" fillId="0" borderId="4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8" fillId="0" borderId="0" xfId="0" applyFont="1" applyBorder="1" applyAlignment="1">
      <alignment horizontal="right"/>
    </xf>
    <xf numFmtId="177" fontId="9" fillId="0" borderId="0" xfId="15" applyNumberFormat="1" applyFont="1" applyBorder="1" applyAlignment="1">
      <alignment horizontal="right"/>
    </xf>
    <xf numFmtId="177" fontId="16" fillId="0" borderId="0" xfId="0" applyNumberFormat="1" applyFont="1" applyBorder="1" applyAlignment="1">
      <alignment/>
    </xf>
    <xf numFmtId="0" fontId="7" fillId="0" borderId="4" xfId="0" applyFont="1" applyBorder="1" applyAlignment="1">
      <alignment horizontal="right"/>
    </xf>
    <xf numFmtId="177" fontId="18" fillId="0" borderId="0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0" fontId="15" fillId="0" borderId="4" xfId="0" applyFont="1" applyBorder="1" applyAlignment="1">
      <alignment horizontal="right"/>
    </xf>
    <xf numFmtId="177" fontId="17" fillId="0" borderId="0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0" fillId="0" borderId="0" xfId="0" applyFill="1" applyBorder="1" applyAlignment="1">
      <alignment/>
    </xf>
    <xf numFmtId="43" fontId="8" fillId="0" borderId="4" xfId="15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177" fontId="12" fillId="0" borderId="0" xfId="15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177" fontId="23" fillId="0" borderId="0" xfId="15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24" fillId="0" borderId="4" xfId="0" applyFont="1" applyBorder="1" applyAlignment="1">
      <alignment/>
    </xf>
    <xf numFmtId="0" fontId="25" fillId="0" borderId="4" xfId="0" applyFont="1" applyBorder="1" applyAlignment="1">
      <alignment horizontal="right"/>
    </xf>
    <xf numFmtId="177" fontId="26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7" fillId="0" borderId="4" xfId="0" applyFont="1" applyBorder="1" applyAlignment="1">
      <alignment horizontal="right"/>
    </xf>
    <xf numFmtId="0" fontId="27" fillId="0" borderId="0" xfId="0" applyFont="1" applyBorder="1" applyAlignment="1">
      <alignment/>
    </xf>
    <xf numFmtId="177" fontId="20" fillId="0" borderId="0" xfId="0" applyNumberFormat="1" applyFont="1" applyBorder="1" applyAlignment="1">
      <alignment horizontal="center"/>
    </xf>
    <xf numFmtId="177" fontId="20" fillId="0" borderId="0" xfId="0" applyNumberFormat="1" applyFont="1" applyBorder="1" applyAlignment="1">
      <alignment/>
    </xf>
    <xf numFmtId="0" fontId="20" fillId="0" borderId="5" xfId="0" applyFont="1" applyBorder="1" applyAlignment="1">
      <alignment/>
    </xf>
    <xf numFmtId="0" fontId="20" fillId="0" borderId="4" xfId="0" applyFont="1" applyBorder="1" applyAlignment="1">
      <alignment/>
    </xf>
    <xf numFmtId="0" fontId="0" fillId="0" borderId="0" xfId="0" applyBorder="1" applyAlignment="1">
      <alignment horizontal="center"/>
    </xf>
    <xf numFmtId="177" fontId="23" fillId="0" borderId="0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177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8" fillId="0" borderId="4" xfId="0" applyFont="1" applyBorder="1" applyAlignment="1">
      <alignment horizontal="right"/>
    </xf>
    <xf numFmtId="0" fontId="25" fillId="0" borderId="0" xfId="0" applyFont="1" applyFill="1" applyBorder="1" applyAlignment="1">
      <alignment/>
    </xf>
    <xf numFmtId="177" fontId="8" fillId="3" borderId="0" xfId="0" applyNumberFormat="1" applyFont="1" applyFill="1" applyBorder="1" applyAlignment="1">
      <alignment horizontal="right"/>
    </xf>
    <xf numFmtId="177" fontId="7" fillId="3" borderId="0" xfId="0" applyNumberFormat="1" applyFont="1" applyFill="1" applyBorder="1" applyAlignment="1">
      <alignment horizontal="right"/>
    </xf>
    <xf numFmtId="0" fontId="3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7" fillId="4" borderId="4" xfId="0" applyFont="1" applyFill="1" applyBorder="1" applyAlignment="1">
      <alignment horizontal="right"/>
    </xf>
    <xf numFmtId="177" fontId="17" fillId="4" borderId="0" xfId="0" applyNumberFormat="1" applyFont="1" applyFill="1" applyBorder="1" applyAlignment="1">
      <alignment/>
    </xf>
    <xf numFmtId="0" fontId="7" fillId="4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right"/>
    </xf>
    <xf numFmtId="177" fontId="18" fillId="4" borderId="0" xfId="0" applyNumberFormat="1" applyFont="1" applyFill="1" applyBorder="1" applyAlignment="1">
      <alignment/>
    </xf>
    <xf numFmtId="0" fontId="8" fillId="4" borderId="0" xfId="0" applyFont="1" applyFill="1" applyBorder="1" applyAlignment="1">
      <alignment horizontal="right"/>
    </xf>
    <xf numFmtId="0" fontId="10" fillId="4" borderId="4" xfId="0" applyFont="1" applyFill="1" applyBorder="1" applyAlignment="1">
      <alignment horizontal="right"/>
    </xf>
    <xf numFmtId="177" fontId="7" fillId="4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23</xdr:row>
      <xdr:rowOff>76200</xdr:rowOff>
    </xdr:from>
    <xdr:to>
      <xdr:col>5</xdr:col>
      <xdr:colOff>66675</xdr:colOff>
      <xdr:row>23</xdr:row>
      <xdr:rowOff>76200</xdr:rowOff>
    </xdr:to>
    <xdr:sp>
      <xdr:nvSpPr>
        <xdr:cNvPr id="1" name="Line 8"/>
        <xdr:cNvSpPr>
          <a:spLocks/>
        </xdr:cNvSpPr>
      </xdr:nvSpPr>
      <xdr:spPr>
        <a:xfrm>
          <a:off x="4019550" y="4629150"/>
          <a:ext cx="457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600075</xdr:colOff>
      <xdr:row>11</xdr:row>
      <xdr:rowOff>0</xdr:rowOff>
    </xdr:from>
    <xdr:to>
      <xdr:col>5</xdr:col>
      <xdr:colOff>600075</xdr:colOff>
      <xdr:row>17</xdr:row>
      <xdr:rowOff>152400</xdr:rowOff>
    </xdr:to>
    <xdr:sp>
      <xdr:nvSpPr>
        <xdr:cNvPr id="2" name="Line 12"/>
        <xdr:cNvSpPr>
          <a:spLocks/>
        </xdr:cNvSpPr>
      </xdr:nvSpPr>
      <xdr:spPr>
        <a:xfrm flipH="1" flipV="1">
          <a:off x="5010150" y="2324100"/>
          <a:ext cx="0" cy="1295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590550</xdr:colOff>
      <xdr:row>18</xdr:row>
      <xdr:rowOff>171450</xdr:rowOff>
    </xdr:from>
    <xdr:to>
      <xdr:col>5</xdr:col>
      <xdr:colOff>590550</xdr:colOff>
      <xdr:row>22</xdr:row>
      <xdr:rowOff>171450</xdr:rowOff>
    </xdr:to>
    <xdr:sp>
      <xdr:nvSpPr>
        <xdr:cNvPr id="3" name="Line 14"/>
        <xdr:cNvSpPr>
          <a:spLocks/>
        </xdr:cNvSpPr>
      </xdr:nvSpPr>
      <xdr:spPr>
        <a:xfrm flipH="1" flipV="1">
          <a:off x="5000625" y="3819525"/>
          <a:ext cx="0" cy="7239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E14" sqref="E14"/>
    </sheetView>
  </sheetViews>
  <sheetFormatPr defaultColWidth="9.00390625" defaultRowHeight="16.5"/>
  <cols>
    <col min="1" max="1" width="19.875" style="0" customWidth="1"/>
    <col min="2" max="2" width="13.875" style="1" customWidth="1"/>
    <col min="3" max="3" width="8.875" style="0" customWidth="1"/>
    <col min="4" max="4" width="9.375" style="0" customWidth="1"/>
    <col min="5" max="5" width="5.875" style="0" customWidth="1"/>
    <col min="6" max="6" width="14.625" style="0" customWidth="1"/>
    <col min="7" max="7" width="7.875" style="1" customWidth="1"/>
    <col min="8" max="8" width="5.375" style="0" customWidth="1"/>
    <col min="9" max="9" width="10.00390625" style="0" customWidth="1"/>
    <col min="10" max="10" width="12.625" style="0" customWidth="1"/>
  </cols>
  <sheetData>
    <row r="1" spans="1:8" ht="37.5" customHeight="1" thickBot="1">
      <c r="A1" s="62" t="s">
        <v>79</v>
      </c>
      <c r="B1" s="62"/>
      <c r="C1" s="62"/>
      <c r="D1" s="62"/>
      <c r="E1" s="62"/>
      <c r="F1" s="62"/>
      <c r="G1" s="62"/>
      <c r="H1" s="62"/>
    </row>
    <row r="2" spans="1:8" ht="17.25" thickTop="1">
      <c r="A2" s="2" t="s">
        <v>0</v>
      </c>
      <c r="B2" s="3"/>
      <c r="C2" s="4"/>
      <c r="D2" s="4"/>
      <c r="E2" s="4"/>
      <c r="F2" s="4"/>
      <c r="G2" s="3"/>
      <c r="H2" s="5"/>
    </row>
    <row r="3" spans="1:8" ht="14.25" customHeight="1">
      <c r="A3" s="6" t="s">
        <v>1</v>
      </c>
      <c r="B3" s="7">
        <v>100</v>
      </c>
      <c r="C3" s="8" t="s">
        <v>2</v>
      </c>
      <c r="D3" s="9"/>
      <c r="E3" s="9"/>
      <c r="F3" s="9"/>
      <c r="G3" s="10"/>
      <c r="H3" s="11"/>
    </row>
    <row r="4" spans="1:8" ht="14.25" customHeight="1">
      <c r="A4" s="6" t="s">
        <v>3</v>
      </c>
      <c r="B4" s="12">
        <v>375</v>
      </c>
      <c r="C4" s="8" t="s">
        <v>2</v>
      </c>
      <c r="D4" s="9"/>
      <c r="E4" s="9"/>
      <c r="F4" s="9"/>
      <c r="G4" s="10"/>
      <c r="H4" s="11"/>
    </row>
    <row r="5" spans="1:8" ht="14.25" customHeight="1">
      <c r="A5" s="6" t="s">
        <v>4</v>
      </c>
      <c r="B5" s="60">
        <v>5</v>
      </c>
      <c r="C5" s="8" t="s">
        <v>2</v>
      </c>
      <c r="D5" s="9"/>
      <c r="E5" s="9"/>
      <c r="F5" s="9"/>
      <c r="G5" s="10"/>
      <c r="H5" s="11"/>
    </row>
    <row r="6" spans="1:8" ht="14.25" customHeight="1">
      <c r="A6" s="6" t="s">
        <v>57</v>
      </c>
      <c r="B6" s="60">
        <v>0.75</v>
      </c>
      <c r="C6" s="8" t="s">
        <v>58</v>
      </c>
      <c r="D6" s="9"/>
      <c r="E6" s="9"/>
      <c r="F6" s="9"/>
      <c r="G6" s="10"/>
      <c r="H6" s="11"/>
    </row>
    <row r="7" spans="1:8" ht="14.25" customHeight="1">
      <c r="A7" s="6" t="s">
        <v>5</v>
      </c>
      <c r="B7" s="61">
        <v>2.2</v>
      </c>
      <c r="C7" s="8" t="s">
        <v>6</v>
      </c>
      <c r="D7" s="13"/>
      <c r="E7" s="9"/>
      <c r="F7" s="9"/>
      <c r="G7" s="10"/>
      <c r="H7" s="11"/>
    </row>
    <row r="8" spans="1:8" ht="14.25" customHeight="1">
      <c r="A8" s="14" t="s">
        <v>7</v>
      </c>
      <c r="B8" s="61">
        <v>15</v>
      </c>
      <c r="C8" s="8" t="s">
        <v>2</v>
      </c>
      <c r="D8" s="9"/>
      <c r="E8" s="9"/>
      <c r="F8" s="9"/>
      <c r="G8" s="10"/>
      <c r="H8" s="15"/>
    </row>
    <row r="9" spans="1:8" ht="14.25" customHeight="1">
      <c r="A9" s="6" t="s">
        <v>8</v>
      </c>
      <c r="B9" s="60">
        <v>68000</v>
      </c>
      <c r="C9" s="8" t="s">
        <v>9</v>
      </c>
      <c r="D9" s="9"/>
      <c r="E9" s="9"/>
      <c r="F9" s="9"/>
      <c r="G9" s="10"/>
      <c r="H9" s="15"/>
    </row>
    <row r="10" spans="1:8" ht="14.25" customHeight="1">
      <c r="A10" s="16" t="s">
        <v>10</v>
      </c>
      <c r="B10" s="60">
        <v>0.7</v>
      </c>
      <c r="C10" s="8"/>
      <c r="D10" s="9"/>
      <c r="E10" s="9"/>
      <c r="F10" s="9"/>
      <c r="G10" s="10"/>
      <c r="H10" s="15"/>
    </row>
    <row r="11" spans="1:8" ht="14.25" customHeight="1">
      <c r="A11" s="6" t="s">
        <v>11</v>
      </c>
      <c r="B11" s="60">
        <v>0.28</v>
      </c>
      <c r="C11" s="17"/>
      <c r="D11" s="18" t="s">
        <v>60</v>
      </c>
      <c r="E11" s="9"/>
      <c r="F11" s="19" t="s">
        <v>67</v>
      </c>
      <c r="G11" s="20">
        <f>ROUND((G24*B22)/(B12*G27)*1000,4)</f>
        <v>0.2819</v>
      </c>
      <c r="H11" s="15"/>
    </row>
    <row r="12" spans="1:8" ht="14.25" customHeight="1">
      <c r="A12" s="6" t="s">
        <v>12</v>
      </c>
      <c r="B12" s="60">
        <v>18.7</v>
      </c>
      <c r="C12" s="8" t="s">
        <v>13</v>
      </c>
      <c r="D12" s="9"/>
      <c r="E12" s="9"/>
      <c r="F12" s="9"/>
      <c r="G12" s="10"/>
      <c r="H12" s="15"/>
    </row>
    <row r="13" spans="1:8" ht="14.25" customHeight="1">
      <c r="A13" s="6" t="s">
        <v>70</v>
      </c>
      <c r="B13" s="61">
        <v>3</v>
      </c>
      <c r="C13" s="19" t="s">
        <v>71</v>
      </c>
      <c r="D13" s="9"/>
      <c r="E13" s="9"/>
      <c r="F13" s="9"/>
      <c r="G13" s="10"/>
      <c r="H13" s="15"/>
    </row>
    <row r="14" spans="1:8" ht="16.5">
      <c r="A14" s="21" t="s">
        <v>14</v>
      </c>
      <c r="B14" s="10"/>
      <c r="C14" s="22"/>
      <c r="D14" s="9"/>
      <c r="E14" s="9"/>
      <c r="F14" s="9"/>
      <c r="G14" s="10"/>
      <c r="H14" s="15"/>
    </row>
    <row r="15" spans="1:8" ht="14.25" customHeight="1">
      <c r="A15" s="72" t="s">
        <v>80</v>
      </c>
      <c r="B15" s="73">
        <v>0</v>
      </c>
      <c r="C15" s="68" t="s">
        <v>72</v>
      </c>
      <c r="D15" s="9"/>
      <c r="E15" s="9"/>
      <c r="F15" s="9"/>
      <c r="G15" s="10"/>
      <c r="H15" s="15"/>
    </row>
    <row r="16" spans="1:8" ht="16.5">
      <c r="A16" s="69" t="s">
        <v>81</v>
      </c>
      <c r="B16" s="70">
        <f>(2*B20/(B19*B3))</f>
        <v>0.7333333333333334</v>
      </c>
      <c r="C16" s="71"/>
      <c r="D16" s="9"/>
      <c r="E16" s="9"/>
      <c r="F16" s="9"/>
      <c r="G16" s="10"/>
      <c r="H16" s="15"/>
    </row>
    <row r="17" spans="1:8" ht="14.25" customHeight="1">
      <c r="A17" s="66" t="s">
        <v>82</v>
      </c>
      <c r="B17" s="67">
        <f>ROUND((B19*B3)/(B9*B16)*1000,4)</f>
        <v>0.8594</v>
      </c>
      <c r="C17" s="68" t="s">
        <v>17</v>
      </c>
      <c r="D17" s="74" t="s">
        <v>83</v>
      </c>
      <c r="E17" s="74"/>
      <c r="F17" s="9"/>
      <c r="G17" s="10"/>
      <c r="H17" s="15"/>
    </row>
    <row r="18" spans="1:8" ht="14.25" customHeight="1">
      <c r="A18" s="6" t="s">
        <v>76</v>
      </c>
      <c r="B18" s="23">
        <f>600-B4-150</f>
        <v>75</v>
      </c>
      <c r="C18" s="8" t="s">
        <v>2</v>
      </c>
      <c r="D18" s="9"/>
      <c r="E18" s="9"/>
      <c r="F18" s="9"/>
      <c r="G18" s="10"/>
      <c r="H18" s="15"/>
    </row>
    <row r="19" spans="1:8" ht="14.25" customHeight="1">
      <c r="A19" s="6" t="s">
        <v>55</v>
      </c>
      <c r="B19" s="12">
        <f>B18/(B18+B3)</f>
        <v>0.42857142857142855</v>
      </c>
      <c r="C19" s="17"/>
      <c r="D19" s="18" t="s">
        <v>60</v>
      </c>
      <c r="E19" s="9"/>
      <c r="F19" s="19" t="s">
        <v>66</v>
      </c>
      <c r="G19" s="24">
        <f>(1-B3/((G26*(B5+B6))+B3))</f>
        <v>0.43396165005273357</v>
      </c>
      <c r="H19" s="15"/>
    </row>
    <row r="20" spans="1:8" ht="14.25" customHeight="1">
      <c r="A20" s="25" t="s">
        <v>15</v>
      </c>
      <c r="B20" s="26">
        <f>B5*B7/B10</f>
        <v>15.714285714285715</v>
      </c>
      <c r="C20" s="8" t="s">
        <v>16</v>
      </c>
      <c r="D20" s="9"/>
      <c r="E20" s="9"/>
      <c r="F20" s="9"/>
      <c r="G20" s="10"/>
      <c r="H20" s="15"/>
    </row>
    <row r="21" spans="1:8" ht="14.25" customHeight="1">
      <c r="A21" s="25" t="s">
        <v>53</v>
      </c>
      <c r="B21" s="26">
        <f>(2*B20/(B19*B3))/(1+B13)</f>
        <v>0.18333333333333335</v>
      </c>
      <c r="C21" s="8" t="s">
        <v>72</v>
      </c>
      <c r="D21" s="9"/>
      <c r="E21" s="9"/>
      <c r="F21" s="9"/>
      <c r="G21" s="10"/>
      <c r="H21" s="15"/>
    </row>
    <row r="22" spans="1:8" ht="14.25" customHeight="1">
      <c r="A22" s="25" t="s">
        <v>54</v>
      </c>
      <c r="B22" s="27">
        <f>B13*B21</f>
        <v>0.55</v>
      </c>
      <c r="C22" s="8" t="s">
        <v>72</v>
      </c>
      <c r="D22" s="9"/>
      <c r="E22" s="9"/>
      <c r="F22" s="9"/>
      <c r="G22" s="10"/>
      <c r="H22" s="15"/>
    </row>
    <row r="23" spans="1:8" ht="14.25" customHeight="1">
      <c r="A23" s="28" t="s">
        <v>56</v>
      </c>
      <c r="B23" s="27">
        <f>B22-B21</f>
        <v>0.3666666666666667</v>
      </c>
      <c r="C23" s="8" t="s">
        <v>72</v>
      </c>
      <c r="D23" s="9"/>
      <c r="E23" s="9"/>
      <c r="F23" s="9"/>
      <c r="G23" s="10"/>
      <c r="H23" s="15"/>
    </row>
    <row r="24" spans="1:8" ht="14.25" customHeight="1">
      <c r="A24" s="25" t="s">
        <v>68</v>
      </c>
      <c r="B24" s="29">
        <f>ROUND((B19*B3)/(B9*B22)*1000,4)</f>
        <v>1.1459</v>
      </c>
      <c r="C24" s="8" t="s">
        <v>17</v>
      </c>
      <c r="D24" s="18" t="s">
        <v>60</v>
      </c>
      <c r="E24" s="9"/>
      <c r="F24" s="19" t="s">
        <v>69</v>
      </c>
      <c r="G24" s="29">
        <f>ROUND(B24,2)</f>
        <v>1.15</v>
      </c>
      <c r="H24" s="30"/>
    </row>
    <row r="25" spans="1:8" ht="14.25" customHeight="1">
      <c r="A25" s="25" t="s">
        <v>19</v>
      </c>
      <c r="B25" s="24">
        <f>ROUND(SQRT((4*1/B9)/(3*1/B9*(1-B19))-1)*B7,4)</f>
        <v>2.5403</v>
      </c>
      <c r="C25" s="8" t="s">
        <v>6</v>
      </c>
      <c r="D25" s="18" t="s">
        <v>60</v>
      </c>
      <c r="E25" s="9"/>
      <c r="F25" s="19"/>
      <c r="G25" s="24"/>
      <c r="H25" s="30"/>
    </row>
    <row r="26" spans="1:8" ht="14.25" customHeight="1">
      <c r="A26" s="25" t="s">
        <v>20</v>
      </c>
      <c r="B26" s="27">
        <f>ROUND(B18/(B5+B6),4)</f>
        <v>13.0435</v>
      </c>
      <c r="C26" s="8"/>
      <c r="D26" s="31"/>
      <c r="E26" s="9"/>
      <c r="F26" s="19" t="s">
        <v>65</v>
      </c>
      <c r="G26" s="26">
        <f>ROUND(G27/G28,4)</f>
        <v>13.3333</v>
      </c>
      <c r="H26" s="15"/>
    </row>
    <row r="27" spans="1:8" ht="14.25" customHeight="1">
      <c r="A27" s="25" t="s">
        <v>21</v>
      </c>
      <c r="B27" s="29">
        <f>ROUND((B24*B22)/(B11*B12)*1000,4)</f>
        <v>120.3676</v>
      </c>
      <c r="C27" s="8" t="s">
        <v>22</v>
      </c>
      <c r="D27" s="18" t="s">
        <v>60</v>
      </c>
      <c r="E27" s="9"/>
      <c r="F27" s="19" t="s">
        <v>64</v>
      </c>
      <c r="G27" s="29">
        <f>ROUND(B27,0)</f>
        <v>120</v>
      </c>
      <c r="H27" s="30" t="s">
        <v>62</v>
      </c>
    </row>
    <row r="28" spans="1:8" ht="14.25" customHeight="1">
      <c r="A28" s="25" t="s">
        <v>23</v>
      </c>
      <c r="B28" s="24">
        <f>ROUND(B27/B26,4)</f>
        <v>9.2282</v>
      </c>
      <c r="C28" s="8" t="s">
        <v>22</v>
      </c>
      <c r="D28" s="18" t="s">
        <v>60</v>
      </c>
      <c r="E28" s="9"/>
      <c r="F28" s="19" t="s">
        <v>63</v>
      </c>
      <c r="G28" s="29">
        <f>ROUND(B28,0)</f>
        <v>9</v>
      </c>
      <c r="H28" s="30" t="s">
        <v>62</v>
      </c>
    </row>
    <row r="29" spans="1:8" ht="14.25" customHeight="1">
      <c r="A29" s="25" t="s">
        <v>24</v>
      </c>
      <c r="B29" s="29">
        <f>ROUND((B27*B8)/(B3*(B19/(1-B19))),4)</f>
        <v>24.0735</v>
      </c>
      <c r="C29" s="8" t="s">
        <v>22</v>
      </c>
      <c r="D29" s="18" t="s">
        <v>60</v>
      </c>
      <c r="E29" s="9"/>
      <c r="F29" s="19" t="s">
        <v>61</v>
      </c>
      <c r="G29" s="29">
        <f>ROUND(B29,0)</f>
        <v>24</v>
      </c>
      <c r="H29" s="30" t="s">
        <v>62</v>
      </c>
    </row>
    <row r="30" spans="1:8" ht="14.25" customHeight="1">
      <c r="A30" s="25" t="s">
        <v>25</v>
      </c>
      <c r="B30" s="29">
        <f>ROUND(((B21+B22)/2)*B19,4)</f>
        <v>0.1571</v>
      </c>
      <c r="C30" s="8" t="s">
        <v>6</v>
      </c>
      <c r="D30" s="9"/>
      <c r="E30" s="9"/>
      <c r="F30" s="9"/>
      <c r="G30" s="10"/>
      <c r="H30" s="15"/>
    </row>
    <row r="31" spans="1:8" ht="14.25" customHeight="1">
      <c r="A31" s="25" t="s">
        <v>26</v>
      </c>
      <c r="B31" s="29">
        <f>ROUND((B30*B3)/(B5+B6),4)</f>
        <v>2.7322</v>
      </c>
      <c r="C31" s="8" t="s">
        <v>6</v>
      </c>
      <c r="D31" s="9"/>
      <c r="E31" s="9"/>
      <c r="F31" s="9"/>
      <c r="G31" s="10"/>
      <c r="H31" s="15"/>
    </row>
    <row r="32" spans="1:8" ht="14.25" customHeight="1">
      <c r="A32" s="32" t="s">
        <v>27</v>
      </c>
      <c r="B32" s="29">
        <f>ROUND(SQRT(B30/3.14),4)</f>
        <v>0.2237</v>
      </c>
      <c r="C32" s="8" t="s">
        <v>28</v>
      </c>
      <c r="D32" s="9"/>
      <c r="E32" s="9"/>
      <c r="F32" s="9"/>
      <c r="G32" s="10"/>
      <c r="H32" s="15"/>
    </row>
    <row r="33" spans="1:8" ht="14.25" customHeight="1">
      <c r="A33" s="32" t="s">
        <v>29</v>
      </c>
      <c r="B33" s="29">
        <f>ROUND(SQRT(B31/3.14),4)</f>
        <v>0.9328</v>
      </c>
      <c r="C33" s="8" t="s">
        <v>28</v>
      </c>
      <c r="D33" s="9"/>
      <c r="E33" s="9"/>
      <c r="F33" s="9"/>
      <c r="G33" s="10"/>
      <c r="H33" s="15"/>
    </row>
    <row r="34" spans="1:8" ht="14.25" customHeight="1">
      <c r="A34" s="32" t="s">
        <v>30</v>
      </c>
      <c r="B34" s="29">
        <v>0.2</v>
      </c>
      <c r="C34" s="8" t="s">
        <v>28</v>
      </c>
      <c r="D34" s="9"/>
      <c r="E34" s="9"/>
      <c r="F34" s="9"/>
      <c r="G34" s="10"/>
      <c r="H34" s="15"/>
    </row>
    <row r="35" spans="1:8" ht="16.5">
      <c r="A35" s="21" t="s">
        <v>31</v>
      </c>
      <c r="B35" s="33"/>
      <c r="C35" s="17"/>
      <c r="D35" s="9"/>
      <c r="E35" s="9"/>
      <c r="F35" s="9"/>
      <c r="G35" s="10"/>
      <c r="H35" s="15"/>
    </row>
    <row r="36" spans="1:8" ht="14.25" customHeight="1">
      <c r="A36" s="25" t="s">
        <v>32</v>
      </c>
      <c r="B36" s="29">
        <f>(B4*B28)/B27+B5+B6</f>
        <v>34.50005400124286</v>
      </c>
      <c r="C36" s="8" t="s">
        <v>2</v>
      </c>
      <c r="D36" s="34"/>
      <c r="E36" s="9"/>
      <c r="F36" s="9"/>
      <c r="G36" s="10"/>
      <c r="H36" s="15"/>
    </row>
    <row r="37" spans="1:8" ht="14.25" customHeight="1">
      <c r="A37" s="25" t="s">
        <v>33</v>
      </c>
      <c r="B37" s="29">
        <f>ROUND(B4*B29/B27,4)</f>
        <v>74.9999</v>
      </c>
      <c r="C37" s="8" t="s">
        <v>2</v>
      </c>
      <c r="D37" s="31"/>
      <c r="E37" s="9"/>
      <c r="F37" s="9"/>
      <c r="G37" s="10"/>
      <c r="H37" s="15"/>
    </row>
    <row r="38" spans="1:8" ht="14.25" customHeight="1">
      <c r="A38" s="25" t="s">
        <v>34</v>
      </c>
      <c r="B38" s="29">
        <f>B4+(B5+B6)*B26+B18</f>
        <v>525.000125</v>
      </c>
      <c r="C38" s="8" t="s">
        <v>2</v>
      </c>
      <c r="D38" s="34"/>
      <c r="E38" s="9"/>
      <c r="F38" s="9"/>
      <c r="G38" s="10"/>
      <c r="H38" s="15"/>
    </row>
    <row r="39" spans="1:8" ht="14.25" customHeight="1">
      <c r="A39" s="25" t="s">
        <v>59</v>
      </c>
      <c r="B39" s="27">
        <f>(B26*(B5+B6))/(B4+(B26*(B5+B6)))</f>
        <v>0.16666689814808383</v>
      </c>
      <c r="C39" s="8"/>
      <c r="D39" s="9"/>
      <c r="E39" s="9"/>
      <c r="F39" s="9"/>
      <c r="G39" s="10"/>
      <c r="H39" s="15"/>
    </row>
    <row r="40" spans="1:8" ht="14.25" customHeight="1">
      <c r="A40" s="25" t="s">
        <v>35</v>
      </c>
      <c r="B40" s="35">
        <f>B9</f>
        <v>68000</v>
      </c>
      <c r="C40" s="8" t="s">
        <v>9</v>
      </c>
      <c r="D40" s="9"/>
      <c r="E40" s="9"/>
      <c r="F40" s="9"/>
      <c r="G40" s="36"/>
      <c r="H40" s="15"/>
    </row>
    <row r="41" spans="1:8" ht="14.25" customHeight="1">
      <c r="A41" s="25" t="s">
        <v>36</v>
      </c>
      <c r="B41" s="37">
        <f>ROUND((B24*B22)/(B27*B12)*10^7,4)</f>
        <v>2800.0011</v>
      </c>
      <c r="C41" s="17"/>
      <c r="D41" s="9"/>
      <c r="E41" s="9"/>
      <c r="F41" s="9"/>
      <c r="G41" s="10"/>
      <c r="H41" s="15"/>
    </row>
    <row r="42" spans="1:8" ht="14.25" customHeight="1">
      <c r="A42" s="25" t="s">
        <v>77</v>
      </c>
      <c r="B42" s="38">
        <f>SQRT((4*1/B40)/(3*1/B40*(1-B39))-1)*B7</f>
        <v>1.7041133034839884</v>
      </c>
      <c r="C42" s="39" t="s">
        <v>6</v>
      </c>
      <c r="D42" s="9" t="s">
        <v>78</v>
      </c>
      <c r="E42" s="9"/>
      <c r="F42" s="9"/>
      <c r="G42" s="10"/>
      <c r="H42" s="15"/>
    </row>
    <row r="43" spans="1:8" ht="14.25" customHeight="1">
      <c r="A43" s="40"/>
      <c r="B43" s="10"/>
      <c r="C43" s="9"/>
      <c r="D43" s="9"/>
      <c r="E43" s="9"/>
      <c r="F43" s="9"/>
      <c r="G43" s="10"/>
      <c r="H43" s="15"/>
    </row>
    <row r="44" spans="1:8" ht="16.5">
      <c r="A44" s="41" t="s">
        <v>37</v>
      </c>
      <c r="B44" s="10"/>
      <c r="C44" s="9"/>
      <c r="D44" s="9"/>
      <c r="E44" s="9"/>
      <c r="F44" s="9"/>
      <c r="G44" s="10"/>
      <c r="H44" s="15"/>
    </row>
    <row r="45" spans="1:8" ht="14.25" customHeight="1">
      <c r="A45" s="42" t="s">
        <v>38</v>
      </c>
      <c r="B45" s="43">
        <v>2000</v>
      </c>
      <c r="C45" s="44" t="s">
        <v>39</v>
      </c>
      <c r="D45" s="45" t="s">
        <v>40</v>
      </c>
      <c r="E45" s="9"/>
      <c r="F45" s="9"/>
      <c r="G45" s="10"/>
      <c r="H45" s="15"/>
    </row>
    <row r="46" spans="1:8" ht="14.25" customHeight="1">
      <c r="A46" s="46" t="s">
        <v>41</v>
      </c>
      <c r="B46" s="43">
        <v>20</v>
      </c>
      <c r="C46" s="47" t="s">
        <v>42</v>
      </c>
      <c r="D46" s="45" t="s">
        <v>43</v>
      </c>
      <c r="E46" s="9"/>
      <c r="F46" s="9"/>
      <c r="G46" s="10"/>
      <c r="H46" s="15"/>
    </row>
    <row r="47" spans="1:8" ht="14.25" customHeight="1">
      <c r="A47" s="42" t="s">
        <v>44</v>
      </c>
      <c r="B47" s="43">
        <v>1.8</v>
      </c>
      <c r="C47" s="44" t="s">
        <v>73</v>
      </c>
      <c r="D47" s="45" t="s">
        <v>45</v>
      </c>
      <c r="E47" s="9"/>
      <c r="F47" s="9"/>
      <c r="G47" s="10"/>
      <c r="H47" s="15"/>
    </row>
    <row r="48" spans="1:8" ht="14.25" customHeight="1">
      <c r="A48" s="58" t="s">
        <v>74</v>
      </c>
      <c r="B48" s="43">
        <v>8</v>
      </c>
      <c r="C48" s="59" t="s">
        <v>75</v>
      </c>
      <c r="D48" s="9"/>
      <c r="E48" s="9"/>
      <c r="F48" s="9"/>
      <c r="G48" s="10"/>
      <c r="H48" s="15"/>
    </row>
    <row r="49" spans="1:8" ht="14.25" customHeight="1">
      <c r="A49" s="40"/>
      <c r="B49" s="48" t="s">
        <v>46</v>
      </c>
      <c r="C49" s="63" t="s">
        <v>47</v>
      </c>
      <c r="D49" s="63"/>
      <c r="E49" s="63" t="s">
        <v>48</v>
      </c>
      <c r="F49" s="63"/>
      <c r="G49" s="49" t="s">
        <v>49</v>
      </c>
      <c r="H49" s="50" t="s">
        <v>18</v>
      </c>
    </row>
    <row r="50" spans="1:8" ht="14.25" customHeight="1">
      <c r="A50" s="40"/>
      <c r="B50" s="48" t="s">
        <v>50</v>
      </c>
      <c r="C50" s="63" t="s">
        <v>51</v>
      </c>
      <c r="D50" s="63"/>
      <c r="E50" s="64" t="s">
        <v>52</v>
      </c>
      <c r="F50" s="64"/>
      <c r="G50" s="64"/>
      <c r="H50" s="15"/>
    </row>
    <row r="51" spans="1:8" ht="14.25" customHeight="1">
      <c r="A51" s="51" t="s">
        <v>18</v>
      </c>
      <c r="B51" s="48">
        <f>B7</f>
        <v>2.2</v>
      </c>
      <c r="C51" s="65">
        <f>ROUND(SQRT((4*1/B9)/(3*(1-B19)*1/B9)-1)*B51,3)</f>
        <v>2.54</v>
      </c>
      <c r="D51" s="65"/>
      <c r="E51" s="9"/>
      <c r="F51" s="52">
        <f>ROUND(B45*2^(B46/10)*2^(1-(C51/B47)^2),0)</f>
        <v>4024</v>
      </c>
      <c r="G51" s="53">
        <f>ROUND(F51/365/B48,2)</f>
        <v>1.38</v>
      </c>
      <c r="H51" s="15"/>
    </row>
    <row r="52" spans="1:8" ht="17.25" thickBot="1">
      <c r="A52" s="54"/>
      <c r="B52" s="55"/>
      <c r="C52" s="56"/>
      <c r="D52" s="56"/>
      <c r="E52" s="56"/>
      <c r="F52" s="56"/>
      <c r="G52" s="55"/>
      <c r="H52" s="57"/>
    </row>
    <row r="53" ht="17.25" thickTop="1"/>
  </sheetData>
  <mergeCells count="6">
    <mergeCell ref="A1:H1"/>
    <mergeCell ref="C50:D50"/>
    <mergeCell ref="E50:G50"/>
    <mergeCell ref="C51:D51"/>
    <mergeCell ref="C49:D49"/>
    <mergeCell ref="E49:F4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Rapid Achieve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PC_4</dc:creator>
  <cp:keywords/>
  <dc:description/>
  <cp:lastModifiedBy>rd3</cp:lastModifiedBy>
  <cp:lastPrinted>2004-10-25T06:04:12Z</cp:lastPrinted>
  <dcterms:created xsi:type="dcterms:W3CDTF">2002-05-20T01:13:45Z</dcterms:created>
  <dcterms:modified xsi:type="dcterms:W3CDTF">2004-10-29T03:00:20Z</dcterms:modified>
  <cp:category/>
  <cp:version/>
  <cp:contentType/>
  <cp:contentStatus/>
</cp:coreProperties>
</file>