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00" windowHeight="4920" tabRatio="789" activeTab="0"/>
  </bookViews>
  <sheets>
    <sheet name="反激-电流连续模式" sheetId="1" r:id="rId1"/>
    <sheet name="半桥式" sheetId="2" r:id="rId2"/>
  </sheets>
  <definedNames/>
  <calcPr fullCalcOnLoad="1"/>
</workbook>
</file>

<file path=xl/comments1.xml><?xml version="1.0" encoding="utf-8"?>
<comments xmlns="http://schemas.openxmlformats.org/spreadsheetml/2006/main">
  <authors>
    <author>刘林玉</author>
  </authors>
  <commentList>
    <comment ref="D16" authorId="0">
      <text>
        <r>
          <rPr>
            <b/>
            <sz val="9"/>
            <rFont val="宋体"/>
            <family val="0"/>
          </rPr>
          <t>包括二极管压降和绕组压降</t>
        </r>
        <r>
          <rPr>
            <sz val="9"/>
            <rFont val="宋体"/>
            <family val="0"/>
          </rPr>
          <t xml:space="preserve">
</t>
        </r>
      </text>
    </comment>
    <comment ref="A9" authorId="0">
      <text>
        <r>
          <rPr>
            <b/>
            <sz val="9"/>
            <rFont val="宋体"/>
            <family val="0"/>
          </rPr>
          <t xml:space="preserve">包括二极管压降和绕组压降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<sst xmlns="http://schemas.openxmlformats.org/spreadsheetml/2006/main" count="288" uniqueCount="192">
  <si>
    <t>Ton</t>
  </si>
  <si>
    <t>伏/匝</t>
  </si>
  <si>
    <t>修正后Ton</t>
  </si>
  <si>
    <t>Ts</t>
  </si>
  <si>
    <t>交流输入电压min</t>
  </si>
  <si>
    <t>交流输入电压max</t>
  </si>
  <si>
    <t>主输出电压</t>
  </si>
  <si>
    <t>输出总功率</t>
  </si>
  <si>
    <t>估计效率</t>
  </si>
  <si>
    <t>主输出二极管压降</t>
  </si>
  <si>
    <t>次级主绕组压降</t>
  </si>
  <si>
    <t>估计输入功率</t>
  </si>
  <si>
    <t>开关频率</t>
  </si>
  <si>
    <t>初级电流max/min</t>
  </si>
  <si>
    <t>初级绕组蓄能期峰值电流</t>
  </si>
  <si>
    <t>初级绕组蓄能期变化电流</t>
  </si>
  <si>
    <t>单位</t>
  </si>
  <si>
    <t>参数名称</t>
  </si>
  <si>
    <t>参数</t>
  </si>
  <si>
    <t>单位</t>
  </si>
  <si>
    <t>中间结果</t>
  </si>
  <si>
    <t>参考值</t>
  </si>
  <si>
    <t>电感系数</t>
  </si>
  <si>
    <t>计算量</t>
  </si>
  <si>
    <t>取值</t>
  </si>
  <si>
    <t>V</t>
  </si>
  <si>
    <t>V</t>
  </si>
  <si>
    <t>V</t>
  </si>
  <si>
    <t>W</t>
  </si>
  <si>
    <t>KHz</t>
  </si>
  <si>
    <t>mT</t>
  </si>
  <si>
    <t>mm^2</t>
  </si>
  <si>
    <t>计算结果</t>
  </si>
  <si>
    <t>主输出匝数</t>
  </si>
  <si>
    <t>nH/匝^2</t>
  </si>
  <si>
    <t>us</t>
  </si>
  <si>
    <t>V/匝^2</t>
  </si>
  <si>
    <t>V/匝^2</t>
  </si>
  <si>
    <t>A</t>
  </si>
  <si>
    <t>初级匝数</t>
  </si>
  <si>
    <t>输出电压</t>
  </si>
  <si>
    <t>二极管压降</t>
  </si>
  <si>
    <t>绕组压降</t>
  </si>
  <si>
    <t>匝数</t>
  </si>
  <si>
    <t>交流感应强度幅值  mT</t>
  </si>
  <si>
    <t>直流感应强度幅值  mT</t>
  </si>
  <si>
    <t>最大磁感应强度    mT</t>
  </si>
  <si>
    <t>查手册确定设计是否通过</t>
  </si>
  <si>
    <t>最大占空比</t>
  </si>
  <si>
    <t>初级储能电容最低电压</t>
  </si>
  <si>
    <t>初级储能电容最高电压</t>
  </si>
  <si>
    <t>原边匝数</t>
  </si>
  <si>
    <t>反射电压</t>
  </si>
  <si>
    <t>修正后伏/匝</t>
  </si>
  <si>
    <t>连续模式变压器计算区</t>
  </si>
  <si>
    <t>窗口填充系数</t>
  </si>
  <si>
    <t>K</t>
  </si>
  <si>
    <r>
      <t>mm</t>
    </r>
    <r>
      <rPr>
        <vertAlign val="superscript"/>
        <sz val="12"/>
        <rFont val="宋体"/>
        <family val="0"/>
      </rPr>
      <t>2</t>
    </r>
  </si>
  <si>
    <r>
      <t>△</t>
    </r>
    <r>
      <rPr>
        <sz val="12"/>
        <rFont val="宋体"/>
        <family val="0"/>
      </rPr>
      <t>B</t>
    </r>
  </si>
  <si>
    <t>T</t>
  </si>
  <si>
    <t>磁芯有效面积(Ae)</t>
  </si>
  <si>
    <t>窗口面积(Aw)</t>
  </si>
  <si>
    <r>
      <t>cm</t>
    </r>
    <r>
      <rPr>
        <vertAlign val="superscript"/>
        <sz val="12"/>
        <rFont val="宋体"/>
        <family val="0"/>
      </rPr>
      <t>4</t>
    </r>
  </si>
  <si>
    <t>实际AP</t>
  </si>
  <si>
    <t>所需AP</t>
  </si>
  <si>
    <r>
      <t>导线面积S</t>
    </r>
    <r>
      <rPr>
        <vertAlign val="subscript"/>
        <sz val="12"/>
        <rFont val="宋体"/>
        <family val="0"/>
      </rPr>
      <t>W</t>
    </r>
  </si>
  <si>
    <t>电流</t>
  </si>
  <si>
    <t>导线直径</t>
  </si>
  <si>
    <r>
      <t>mm</t>
    </r>
    <r>
      <rPr>
        <vertAlign val="superscript"/>
        <sz val="12"/>
        <rFont val="宋体"/>
        <family val="0"/>
      </rPr>
      <t>2</t>
    </r>
  </si>
  <si>
    <t>原边蓄能期平均电流</t>
  </si>
  <si>
    <t>原边最大电流</t>
  </si>
  <si>
    <t>原边匝数</t>
  </si>
  <si>
    <t>股数</t>
  </si>
  <si>
    <r>
      <t>A/mm</t>
    </r>
    <r>
      <rPr>
        <vertAlign val="superscript"/>
        <sz val="12"/>
        <rFont val="宋体"/>
        <family val="0"/>
      </rPr>
      <t xml:space="preserve">2 </t>
    </r>
  </si>
  <si>
    <t>电流系数（*4）</t>
  </si>
  <si>
    <t>股</t>
  </si>
  <si>
    <t>A</t>
  </si>
  <si>
    <t>原边股数</t>
  </si>
  <si>
    <t>原边线径</t>
  </si>
  <si>
    <t>mm</t>
  </si>
  <si>
    <t>主输出电压</t>
  </si>
  <si>
    <t>主输出电流</t>
  </si>
  <si>
    <t>副边线径</t>
  </si>
  <si>
    <t>副边匝数</t>
  </si>
  <si>
    <t>副边股数</t>
  </si>
  <si>
    <t>副边匝数(Ns)</t>
  </si>
  <si>
    <t>副边股数(Ws)</t>
  </si>
  <si>
    <t>副边最大电流有效值</t>
  </si>
  <si>
    <t>其它导线计算</t>
  </si>
  <si>
    <t>匝比</t>
  </si>
  <si>
    <t>每匝电压系数</t>
  </si>
  <si>
    <t>磁芯有效面积(Ae)</t>
  </si>
  <si>
    <t>交变工作磁密(ΔB)</t>
  </si>
  <si>
    <t>次级匝数Ns</t>
  </si>
  <si>
    <t>初级电感量Lp(mH)</t>
  </si>
  <si>
    <t>变压器型号</t>
  </si>
  <si>
    <t>V/匝</t>
  </si>
  <si>
    <t>修正后电压系数 伏/匝</t>
  </si>
  <si>
    <t>初级绕组电压系数 伏/匝</t>
  </si>
  <si>
    <t>辅助绕组电压</t>
  </si>
  <si>
    <t>辅助绕组线路压降</t>
  </si>
  <si>
    <t>主输出线路压降</t>
  </si>
  <si>
    <t>辅助绕组匝数 NB</t>
  </si>
  <si>
    <t>初级匝数 Np</t>
  </si>
  <si>
    <r>
      <t xml:space="preserve">初级绕组周期平均电流 </t>
    </r>
    <r>
      <rPr>
        <sz val="12"/>
        <color indexed="10"/>
        <rFont val="宋体"/>
        <family val="0"/>
      </rPr>
      <t>Is</t>
    </r>
  </si>
  <si>
    <r>
      <t>初级绕组蓄能期平均电流</t>
    </r>
    <r>
      <rPr>
        <sz val="12"/>
        <color indexed="10"/>
        <rFont val="宋体"/>
        <family val="0"/>
      </rPr>
      <t>Iave</t>
    </r>
  </si>
  <si>
    <r>
      <t>初级绕组蓄能期初始电流</t>
    </r>
    <r>
      <rPr>
        <sz val="12"/>
        <color indexed="10"/>
        <rFont val="宋体"/>
        <family val="0"/>
      </rPr>
      <t>Ip1</t>
    </r>
  </si>
  <si>
    <r>
      <t>初级绕组蓄能期变化电流</t>
    </r>
    <r>
      <rPr>
        <sz val="12"/>
        <color indexed="10"/>
        <rFont val="宋体"/>
        <family val="0"/>
      </rPr>
      <t>ΔI</t>
    </r>
  </si>
  <si>
    <t>初级电感量 mH</t>
  </si>
  <si>
    <t>气隙长度   mm</t>
  </si>
  <si>
    <t>mH</t>
  </si>
  <si>
    <t>mm</t>
  </si>
  <si>
    <t>匝</t>
  </si>
  <si>
    <t>匝</t>
  </si>
  <si>
    <t xml:space="preserve"> mT</t>
  </si>
  <si>
    <t xml:space="preserve"> mT</t>
  </si>
  <si>
    <t>交流感应强度幅值 ΔBac</t>
  </si>
  <si>
    <t>直流感应强度幅值 Bdc</t>
  </si>
  <si>
    <t>最大磁感应强度   Bmax</t>
  </si>
  <si>
    <t>修正</t>
  </si>
  <si>
    <t>占空比</t>
  </si>
  <si>
    <t>绕组2</t>
  </si>
  <si>
    <t>绕组3</t>
  </si>
  <si>
    <t>绕组4</t>
  </si>
  <si>
    <t>绕组6</t>
  </si>
  <si>
    <t>其它绕组计算结果</t>
  </si>
  <si>
    <t>匝数</t>
  </si>
  <si>
    <t>电感量</t>
  </si>
  <si>
    <t>电压</t>
  </si>
  <si>
    <t>压降</t>
  </si>
  <si>
    <t>%</t>
  </si>
  <si>
    <r>
      <t>初级绕组蓄能期峰值电流</t>
    </r>
    <r>
      <rPr>
        <sz val="12"/>
        <color indexed="10"/>
        <rFont val="宋体"/>
        <family val="0"/>
      </rPr>
      <t>Ip2</t>
    </r>
  </si>
  <si>
    <t>uH</t>
  </si>
  <si>
    <t>绕组5</t>
  </si>
  <si>
    <t>次级感量L1</t>
  </si>
  <si>
    <t>uH</t>
  </si>
  <si>
    <t>mH</t>
  </si>
  <si>
    <t>电流与线径计算</t>
  </si>
  <si>
    <t>电流（A）</t>
  </si>
  <si>
    <t>线径（mm)</t>
  </si>
  <si>
    <t>股数(股）</t>
  </si>
  <si>
    <t>uH</t>
  </si>
  <si>
    <t>股</t>
  </si>
  <si>
    <t>变压器</t>
  </si>
  <si>
    <t>功率开关管的选择</t>
  </si>
  <si>
    <t>次级允许过载电流</t>
  </si>
  <si>
    <t>最大原边电流</t>
  </si>
  <si>
    <t>功率管承受最大电压</t>
  </si>
  <si>
    <t>V</t>
  </si>
  <si>
    <t>次级整流二极管选择</t>
  </si>
  <si>
    <t>二极管反射承受电压</t>
  </si>
  <si>
    <t>二极管最大峰值电流</t>
  </si>
  <si>
    <t>V</t>
  </si>
  <si>
    <t>A</t>
  </si>
  <si>
    <t>储能电感最大电流</t>
  </si>
  <si>
    <t>隔直电容容量</t>
  </si>
  <si>
    <t>隔直电容是否合适</t>
  </si>
  <si>
    <t xml:space="preserve"> 谐振频率</t>
  </si>
  <si>
    <t>uF</t>
  </si>
  <si>
    <t>最佳谐振频率</t>
  </si>
  <si>
    <t>储能电感临界电感量</t>
  </si>
  <si>
    <t>选定隔直电容后调节电感使谐振频率接近最佳谐振频率</t>
  </si>
  <si>
    <t>直流等效电阻（ESR）</t>
  </si>
  <si>
    <t>mΩ</t>
  </si>
  <si>
    <t>纹波系数</t>
  </si>
  <si>
    <t>mV</t>
  </si>
  <si>
    <t>Rt</t>
  </si>
  <si>
    <t>Ct</t>
  </si>
  <si>
    <t>fs</t>
  </si>
  <si>
    <t>nF</t>
  </si>
  <si>
    <t>输出二极管耐压</t>
  </si>
  <si>
    <t>V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</si>
  <si>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</si>
  <si>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</si>
  <si>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</si>
  <si>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</si>
  <si>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</si>
  <si>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</si>
  <si>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</si>
  <si>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</si>
  <si>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</si>
  <si>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3842频率计算</t>
  </si>
  <si>
    <t>Rt</t>
  </si>
  <si>
    <t>nF</t>
  </si>
  <si>
    <t>KHz</t>
  </si>
  <si>
    <r>
      <t>K</t>
    </r>
    <r>
      <rPr>
        <sz val="11"/>
        <rFont val="宋体"/>
        <family val="0"/>
      </rPr>
      <t>Ω</t>
    </r>
  </si>
  <si>
    <t>参考匝比与原边匝数</t>
  </si>
  <si>
    <t>参考原边匝数</t>
  </si>
  <si>
    <t>匝</t>
  </si>
  <si>
    <t>ec42</t>
  </si>
  <si>
    <t>最小匝比/设计匝比</t>
  </si>
  <si>
    <t>ei40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</si>
</sst>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"/>
  </numFmts>
  <fonts count="1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10"/>
      <name val="宋体"/>
      <family val="0"/>
    </font>
    <font>
      <b/>
      <sz val="16"/>
      <color indexed="12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vertAlign val="superscript"/>
      <sz val="12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1"/>
      <name val="宋体"/>
      <family val="0"/>
    </font>
    <font>
      <b/>
      <sz val="8"/>
      <name val="宋体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8" fontId="4" fillId="5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8" fontId="8" fillId="2" borderId="0" xfId="0" applyNumberFormat="1" applyFon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178" fontId="0" fillId="6" borderId="8" xfId="0" applyNumberForma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78" fontId="0" fillId="7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78" fontId="0" fillId="4" borderId="1" xfId="0" applyNumberFormat="1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9" borderId="11" xfId="0" applyFont="1" applyFill="1" applyBorder="1" applyAlignment="1">
      <alignment vertical="center"/>
    </xf>
    <xf numFmtId="0" fontId="9" fillId="9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10" borderId="11" xfId="0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right" vertical="center"/>
    </xf>
    <xf numFmtId="178" fontId="0" fillId="2" borderId="13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178" fontId="0" fillId="9" borderId="7" xfId="0" applyNumberFormat="1" applyFont="1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78" fontId="0" fillId="6" borderId="0" xfId="0" applyNumberFormat="1" applyFont="1" applyFill="1" applyBorder="1" applyAlignment="1">
      <alignment horizontal="right" vertical="center"/>
    </xf>
    <xf numFmtId="0" fontId="0" fillId="6" borderId="6" xfId="0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0" fillId="11" borderId="11" xfId="0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0" fillId="11" borderId="8" xfId="0" applyFill="1" applyBorder="1" applyAlignment="1">
      <alignment vertical="center"/>
    </xf>
    <xf numFmtId="0" fontId="0" fillId="11" borderId="9" xfId="0" applyFill="1" applyBorder="1" applyAlignment="1">
      <alignment horizontal="center" vertical="center"/>
    </xf>
    <xf numFmtId="178" fontId="0" fillId="0" borderId="7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6" borderId="8" xfId="0" applyFont="1" applyFill="1" applyBorder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178" fontId="14" fillId="6" borderId="8" xfId="0" applyNumberFormat="1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9" fillId="9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7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B33" sqref="B33"/>
    </sheetView>
  </sheetViews>
  <sheetFormatPr defaultColWidth="9.00390625" defaultRowHeight="14.25"/>
  <cols>
    <col min="1" max="1" width="18.50390625" style="0" customWidth="1"/>
    <col min="3" max="3" width="6.125" style="0" customWidth="1"/>
    <col min="4" max="4" width="17.50390625" style="0" customWidth="1"/>
    <col min="6" max="6" width="9.50390625" style="5" customWidth="1"/>
    <col min="7" max="7" width="27.375" style="0" customWidth="1"/>
    <col min="8" max="8" width="12.75390625" style="1" bestFit="1" customWidth="1"/>
  </cols>
  <sheetData>
    <row r="1" spans="1:9" ht="38.25" customHeight="1" thickBot="1">
      <c r="A1" s="19" t="s">
        <v>172</v>
      </c>
      <c r="B1" s="115" t="s">
        <v>173</v>
      </c>
      <c r="C1" s="115" t="s">
        <v>174</v>
      </c>
      <c r="D1" s="115" t="s">
        <v>175</v>
      </c>
      <c r="E1" s="115" t="s">
        <v>176</v>
      </c>
      <c r="F1" s="116" t="s">
        <v>177</v>
      </c>
      <c r="G1" s="115" t="s">
        <v>178</v>
      </c>
      <c r="H1" s="117" t="s">
        <v>179</v>
      </c>
      <c r="I1" s="118" t="s">
        <v>180</v>
      </c>
    </row>
    <row r="2" spans="1:9" ht="21" thickBot="1">
      <c r="A2" s="19" t="s">
        <v>54</v>
      </c>
      <c r="B2" s="20"/>
      <c r="C2" s="20"/>
      <c r="D2" s="20"/>
      <c r="E2" s="20"/>
      <c r="F2" s="75"/>
      <c r="G2" s="20"/>
      <c r="H2" s="21"/>
      <c r="I2" s="22"/>
    </row>
    <row r="3" spans="1:9" ht="26.25" thickBot="1">
      <c r="A3" s="7" t="s">
        <v>17</v>
      </c>
      <c r="B3" s="8" t="s">
        <v>18</v>
      </c>
      <c r="C3" s="8" t="s">
        <v>19</v>
      </c>
      <c r="D3" s="8" t="s">
        <v>20</v>
      </c>
      <c r="E3" s="8" t="s">
        <v>23</v>
      </c>
      <c r="F3" s="8" t="s">
        <v>24</v>
      </c>
      <c r="G3" s="8" t="s">
        <v>21</v>
      </c>
      <c r="H3" s="9"/>
      <c r="I3" s="10" t="s">
        <v>16</v>
      </c>
    </row>
    <row r="4" spans="1:9" ht="15" thickBot="1">
      <c r="A4" s="36" t="s">
        <v>4</v>
      </c>
      <c r="B4" s="36">
        <v>150</v>
      </c>
      <c r="C4" s="36" t="s">
        <v>25</v>
      </c>
      <c r="D4" s="45" t="s">
        <v>103</v>
      </c>
      <c r="E4" s="45">
        <f>H5*H10/(B14/1000*B15)</f>
        <v>106.39880952380952</v>
      </c>
      <c r="F4" s="97">
        <f>IF(E4-0.5&gt;ROUNDDOWN(E4,0),ROUNDUP(E4,0),ROUNDDOWN(E4,0))</f>
        <v>106</v>
      </c>
      <c r="G4" s="47" t="s">
        <v>98</v>
      </c>
      <c r="H4" s="93">
        <f>H5/F4</f>
        <v>1.8396226415094339</v>
      </c>
      <c r="I4" s="58" t="s">
        <v>96</v>
      </c>
    </row>
    <row r="5" spans="1:9" ht="15" thickBot="1">
      <c r="A5" s="47" t="s">
        <v>5</v>
      </c>
      <c r="B5" s="47">
        <v>264</v>
      </c>
      <c r="C5" s="47" t="s">
        <v>26</v>
      </c>
      <c r="D5" s="47" t="s">
        <v>94</v>
      </c>
      <c r="E5" s="66">
        <f>H5*H13/1000/H18</f>
        <v>2.4812129629842943</v>
      </c>
      <c r="F5" s="98" t="s">
        <v>136</v>
      </c>
      <c r="G5" s="103" t="s">
        <v>49</v>
      </c>
      <c r="H5" s="94">
        <f>B4*1.3</f>
        <v>195</v>
      </c>
      <c r="I5" s="55" t="s">
        <v>27</v>
      </c>
    </row>
    <row r="6" spans="1:9" ht="15" thickBot="1">
      <c r="A6" s="36" t="s">
        <v>6</v>
      </c>
      <c r="B6" s="36">
        <v>5</v>
      </c>
      <c r="C6" s="36" t="s">
        <v>27</v>
      </c>
      <c r="D6" s="82"/>
      <c r="E6" s="83"/>
      <c r="F6" s="99"/>
      <c r="G6" s="47" t="s">
        <v>50</v>
      </c>
      <c r="H6" s="95">
        <f>B5*1.3</f>
        <v>343.2</v>
      </c>
      <c r="I6" s="58" t="s">
        <v>27</v>
      </c>
    </row>
    <row r="7" spans="1:9" ht="15" thickBot="1">
      <c r="A7" s="47" t="s">
        <v>7</v>
      </c>
      <c r="B7" s="47">
        <v>35</v>
      </c>
      <c r="C7" s="47" t="s">
        <v>28</v>
      </c>
      <c r="D7" s="80"/>
      <c r="E7" s="81"/>
      <c r="F7" s="100"/>
      <c r="G7" s="65" t="s">
        <v>22</v>
      </c>
      <c r="H7" s="96">
        <f>E5/F4/F4*1000</f>
        <v>0.22082707039732058</v>
      </c>
      <c r="I7" s="55" t="s">
        <v>34</v>
      </c>
    </row>
    <row r="8" spans="1:9" ht="15" thickBot="1">
      <c r="A8" s="36" t="s">
        <v>8</v>
      </c>
      <c r="B8" s="36">
        <v>0.75</v>
      </c>
      <c r="C8" s="36"/>
      <c r="D8" s="45"/>
      <c r="E8" s="45"/>
      <c r="F8" s="97"/>
      <c r="G8" s="76" t="s">
        <v>52</v>
      </c>
      <c r="H8" s="93">
        <f>(B9+B10+B6)*(F4/F9)</f>
        <v>194.33333333333334</v>
      </c>
      <c r="I8" s="58" t="s">
        <v>27</v>
      </c>
    </row>
    <row r="9" spans="1:9" ht="15" thickBot="1">
      <c r="A9" s="47" t="s">
        <v>101</v>
      </c>
      <c r="B9" s="47">
        <v>0.5</v>
      </c>
      <c r="C9" s="47" t="s">
        <v>27</v>
      </c>
      <c r="D9" s="47" t="s">
        <v>93</v>
      </c>
      <c r="E9" s="47">
        <f>(B6+B9)/H4</f>
        <v>2.98974358974359</v>
      </c>
      <c r="F9" s="77">
        <f>ROUNDUP(E9,0)</f>
        <v>3</v>
      </c>
      <c r="G9" s="65" t="s">
        <v>3</v>
      </c>
      <c r="H9" s="96">
        <f>1/B11*1000</f>
        <v>14.666666666666668</v>
      </c>
      <c r="I9" s="55" t="s">
        <v>35</v>
      </c>
    </row>
    <row r="10" spans="1:9" ht="15" thickBot="1">
      <c r="A10" s="36"/>
      <c r="B10" s="36"/>
      <c r="C10" s="36"/>
      <c r="D10" s="78" t="s">
        <v>134</v>
      </c>
      <c r="E10" s="78">
        <f>F9^2*H7</f>
        <v>1.9874436335758852</v>
      </c>
      <c r="F10" s="86" t="s">
        <v>135</v>
      </c>
      <c r="G10" s="76" t="s">
        <v>0</v>
      </c>
      <c r="H10" s="93">
        <f>1/B11*1000*B12/100</f>
        <v>6.6</v>
      </c>
      <c r="I10" s="58" t="s">
        <v>35</v>
      </c>
    </row>
    <row r="11" spans="1:9" ht="15" thickBot="1">
      <c r="A11" s="47" t="s">
        <v>12</v>
      </c>
      <c r="B11" s="47">
        <f>B34</f>
        <v>68.18181818181817</v>
      </c>
      <c r="C11" s="47" t="s">
        <v>29</v>
      </c>
      <c r="G11" s="103" t="s">
        <v>11</v>
      </c>
      <c r="H11" s="96">
        <f>B7/B8</f>
        <v>46.666666666666664</v>
      </c>
      <c r="I11" s="55" t="s">
        <v>28</v>
      </c>
    </row>
    <row r="12" spans="1:9" ht="15" thickBot="1">
      <c r="A12" s="36" t="s">
        <v>48</v>
      </c>
      <c r="B12" s="36">
        <v>45</v>
      </c>
      <c r="C12" s="36" t="s">
        <v>130</v>
      </c>
      <c r="D12" s="78"/>
      <c r="E12" s="78"/>
      <c r="F12" s="79"/>
      <c r="G12" s="47" t="s">
        <v>97</v>
      </c>
      <c r="H12" s="93">
        <f>(B6+B9+B10)/F9</f>
        <v>1.8333333333333333</v>
      </c>
      <c r="I12" s="58" t="s">
        <v>96</v>
      </c>
    </row>
    <row r="13" spans="1:9" ht="15" thickBot="1">
      <c r="A13" s="47" t="s">
        <v>13</v>
      </c>
      <c r="B13" s="47">
        <v>4</v>
      </c>
      <c r="C13" s="47" t="s">
        <v>76</v>
      </c>
      <c r="G13" s="103" t="s">
        <v>2</v>
      </c>
      <c r="H13" s="96">
        <f>H9*H12/(H12+H4)</f>
        <v>7.320776255707763</v>
      </c>
      <c r="I13" s="55" t="s">
        <v>35</v>
      </c>
    </row>
    <row r="14" spans="1:9" ht="15" thickBot="1">
      <c r="A14" s="36" t="s">
        <v>92</v>
      </c>
      <c r="B14" s="36">
        <v>84</v>
      </c>
      <c r="C14" s="36" t="s">
        <v>30</v>
      </c>
      <c r="D14" s="45" t="s">
        <v>102</v>
      </c>
      <c r="E14" s="45">
        <f>(E15+E16)/H12</f>
        <v>7.090909090909091</v>
      </c>
      <c r="F14" s="97">
        <f>IF(E14-0.5&gt;ROUNDDOWN(E14,0),ROUNDUP(E14,0),ROUNDDOWN(E14,0))</f>
        <v>7</v>
      </c>
      <c r="G14" s="47" t="s">
        <v>104</v>
      </c>
      <c r="H14" s="93">
        <f>H11/H5</f>
        <v>0.2393162393162393</v>
      </c>
      <c r="I14" s="58" t="s">
        <v>38</v>
      </c>
    </row>
    <row r="15" spans="1:9" ht="15" thickBot="1">
      <c r="A15" s="47" t="s">
        <v>91</v>
      </c>
      <c r="B15" s="47">
        <f>IF(B16="EC28",5^2*PI(),IF(B16="EI40",12^2,IF(B16="EC42",15.5^2/4*PI(),IF(B16="EI28",86,IF(B16="ee16",21.7,IF(B16="ee25",51,0))))))</f>
        <v>144</v>
      </c>
      <c r="C15" s="47" t="s">
        <v>31</v>
      </c>
      <c r="D15" s="47" t="s">
        <v>99</v>
      </c>
      <c r="E15" s="47">
        <v>12</v>
      </c>
      <c r="F15" s="101" t="s">
        <v>27</v>
      </c>
      <c r="G15" s="103" t="s">
        <v>105</v>
      </c>
      <c r="H15" s="96">
        <f>H14*H9/H13</f>
        <v>0.47945346058553606</v>
      </c>
      <c r="I15" s="55" t="s">
        <v>38</v>
      </c>
    </row>
    <row r="16" spans="1:10" ht="15" thickBot="1">
      <c r="A16" s="36" t="s">
        <v>95</v>
      </c>
      <c r="B16" s="48" t="s">
        <v>191</v>
      </c>
      <c r="C16" s="36"/>
      <c r="D16" s="36" t="s">
        <v>100</v>
      </c>
      <c r="E16" s="36">
        <v>1</v>
      </c>
      <c r="F16" s="102" t="s">
        <v>27</v>
      </c>
      <c r="G16" s="47" t="s">
        <v>106</v>
      </c>
      <c r="H16" s="93">
        <f>2*H15/(B13+1)</f>
        <v>0.19178138423421442</v>
      </c>
      <c r="I16" s="58" t="s">
        <v>38</v>
      </c>
      <c r="J16" s="2"/>
    </row>
    <row r="17" spans="7:9" ht="15" thickBot="1">
      <c r="G17" s="103" t="s">
        <v>131</v>
      </c>
      <c r="H17" s="96">
        <f>H16*B13</f>
        <v>0.7671255369368577</v>
      </c>
      <c r="I17" s="55" t="s">
        <v>38</v>
      </c>
    </row>
    <row r="18" spans="5:9" ht="15" thickBot="1">
      <c r="E18" s="5"/>
      <c r="G18" s="47" t="s">
        <v>107</v>
      </c>
      <c r="H18" s="93">
        <f>H17-H16</f>
        <v>0.5753441527026433</v>
      </c>
      <c r="I18" s="58" t="s">
        <v>38</v>
      </c>
    </row>
    <row r="19" spans="1:9" ht="15" thickBot="1">
      <c r="A19" s="12"/>
      <c r="B19" s="13"/>
      <c r="C19" s="13"/>
      <c r="E19" s="93"/>
      <c r="F19" s="69"/>
      <c r="G19" s="65" t="s">
        <v>120</v>
      </c>
      <c r="H19" s="96">
        <f>H13/H9*100</f>
        <v>49.91438356164383</v>
      </c>
      <c r="I19" s="55" t="s">
        <v>130</v>
      </c>
    </row>
    <row r="20" spans="1:9" ht="21" thickBot="1">
      <c r="A20" s="88" t="s">
        <v>32</v>
      </c>
      <c r="B20" s="87"/>
      <c r="C20" s="55"/>
      <c r="D20" s="90" t="s">
        <v>137</v>
      </c>
      <c r="E20" s="91"/>
      <c r="F20" s="92"/>
      <c r="G20" s="63" t="s">
        <v>116</v>
      </c>
      <c r="H20" s="51">
        <f>H5*H13/F4/B15*1000</f>
        <v>93.5240677321157</v>
      </c>
      <c r="I20" s="53" t="s">
        <v>115</v>
      </c>
    </row>
    <row r="21" spans="1:9" ht="15" thickBot="1">
      <c r="A21" s="56" t="s">
        <v>39</v>
      </c>
      <c r="B21" s="57">
        <f>F4</f>
        <v>106</v>
      </c>
      <c r="C21" s="58" t="s">
        <v>113</v>
      </c>
      <c r="D21" s="76" t="s">
        <v>138</v>
      </c>
      <c r="E21" s="76" t="s">
        <v>139</v>
      </c>
      <c r="F21" s="76" t="s">
        <v>140</v>
      </c>
      <c r="G21" s="72" t="s">
        <v>117</v>
      </c>
      <c r="H21" s="73">
        <f>4*PI()/10000000*F4*H16/B23*1000000</f>
        <v>31.17468924403856</v>
      </c>
      <c r="I21" s="74" t="s">
        <v>114</v>
      </c>
    </row>
    <row r="22" spans="1:9" ht="15" thickBot="1">
      <c r="A22" s="59" t="s">
        <v>108</v>
      </c>
      <c r="B22" s="60">
        <f>E5</f>
        <v>2.4812129629842943</v>
      </c>
      <c r="C22" s="61" t="s">
        <v>110</v>
      </c>
      <c r="D22" s="89">
        <v>0.77</v>
      </c>
      <c r="E22" s="89">
        <v>0.4</v>
      </c>
      <c r="F22" s="89">
        <f>ROUND(D22/(E22^2/4*PI()*B13),0)</f>
        <v>2</v>
      </c>
      <c r="G22" s="64" t="s">
        <v>118</v>
      </c>
      <c r="H22" s="52">
        <f>H20/2+H21</f>
        <v>77.93672311009641</v>
      </c>
      <c r="I22" s="54" t="s">
        <v>114</v>
      </c>
    </row>
    <row r="23" spans="1:9" ht="15" thickBot="1">
      <c r="A23" s="56" t="s">
        <v>109</v>
      </c>
      <c r="B23" s="57">
        <f>4*PI()/10000000*B21^2*B15/B22</f>
        <v>0.819445444442973</v>
      </c>
      <c r="C23" s="58" t="s">
        <v>111</v>
      </c>
      <c r="D23" s="76">
        <v>1</v>
      </c>
      <c r="E23" s="76">
        <v>0.5</v>
      </c>
      <c r="F23" s="76">
        <f>ROUND(D23/(E23^2/4*PI()*B13),0)</f>
        <v>1</v>
      </c>
      <c r="H23" s="50"/>
      <c r="I23" s="15"/>
    </row>
    <row r="24" spans="1:9" ht="15" thickBot="1">
      <c r="A24" s="59" t="s">
        <v>33</v>
      </c>
      <c r="B24" s="62">
        <f>F9</f>
        <v>3</v>
      </c>
      <c r="C24" s="61" t="s">
        <v>112</v>
      </c>
      <c r="D24" s="89">
        <v>0.25</v>
      </c>
      <c r="E24" s="89">
        <v>0.3</v>
      </c>
      <c r="F24" s="89">
        <f>ROUND(D24/(E24^2/4*PI()*B13),0)</f>
        <v>1</v>
      </c>
      <c r="G24" s="13"/>
      <c r="H24" s="14"/>
      <c r="I24" s="15"/>
    </row>
    <row r="25" spans="1:12" s="5" customFormat="1" ht="15" thickBot="1">
      <c r="A25" s="65" t="s">
        <v>125</v>
      </c>
      <c r="B25" s="65" t="s">
        <v>128</v>
      </c>
      <c r="C25" s="65" t="s">
        <v>129</v>
      </c>
      <c r="D25" s="65" t="s">
        <v>126</v>
      </c>
      <c r="E25" s="65" t="s">
        <v>119</v>
      </c>
      <c r="F25" s="65" t="s">
        <v>127</v>
      </c>
      <c r="G25" s="69"/>
      <c r="H25" s="69"/>
      <c r="I25" s="69"/>
      <c r="J25" s="69"/>
      <c r="K25" s="70"/>
      <c r="L25" s="71"/>
    </row>
    <row r="26" spans="1:12" ht="15" thickBot="1">
      <c r="A26" s="47" t="s">
        <v>121</v>
      </c>
      <c r="B26" s="76">
        <v>15</v>
      </c>
      <c r="C26" s="76">
        <v>3</v>
      </c>
      <c r="D26" s="68">
        <f>(C26+B26)/H12</f>
        <v>9.818181818181818</v>
      </c>
      <c r="E26" s="68">
        <f>IF(D26-0.5&gt;INT(D26),ROUNDUP(D26,0),INT(D26))</f>
        <v>10</v>
      </c>
      <c r="F26" s="68">
        <f>E26^2*H7</f>
        <v>22.082707039732057</v>
      </c>
      <c r="G26" s="13" t="s">
        <v>132</v>
      </c>
      <c r="H26" s="13">
        <f>(H8+H6)*F9/F4</f>
        <v>15.21320754716981</v>
      </c>
      <c r="I26" s="13"/>
      <c r="J26" s="13"/>
      <c r="K26" s="14"/>
      <c r="L26" s="15"/>
    </row>
    <row r="27" spans="1:12" ht="15" thickBot="1">
      <c r="A27" s="84" t="s">
        <v>122</v>
      </c>
      <c r="B27" s="85">
        <v>270</v>
      </c>
      <c r="C27" s="85">
        <v>5</v>
      </c>
      <c r="D27" s="85">
        <f>(C27+B27)/H12</f>
        <v>150</v>
      </c>
      <c r="E27" s="85">
        <f>IF(D27-0.5&gt;INT(D27),ROUNDUP(D27,0),INT(D27))</f>
        <v>150</v>
      </c>
      <c r="F27" s="85">
        <f>E27^2*H7</f>
        <v>4968.609083939713</v>
      </c>
      <c r="G27" s="13" t="s">
        <v>132</v>
      </c>
      <c r="H27" s="13"/>
      <c r="I27" s="13"/>
      <c r="J27" s="13"/>
      <c r="K27" s="14"/>
      <c r="L27" s="15"/>
    </row>
    <row r="28" spans="1:12" ht="15" thickBot="1">
      <c r="A28" s="47" t="s">
        <v>123</v>
      </c>
      <c r="B28" s="76">
        <v>0</v>
      </c>
      <c r="C28" s="76">
        <v>2.5</v>
      </c>
      <c r="D28" s="67">
        <f>IF((B28+C28)&gt;0,(B28+C28)/H12,0)</f>
        <v>1.3636363636363638</v>
      </c>
      <c r="E28" s="68">
        <f>IF(D28-0.5&gt;INT(D28),ROUNDUP(D28,0),INT(D28))</f>
        <v>1</v>
      </c>
      <c r="F28" s="68">
        <f>E28^2*H7</f>
        <v>0.22082707039732058</v>
      </c>
      <c r="G28" s="13" t="s">
        <v>141</v>
      </c>
      <c r="H28" s="13"/>
      <c r="I28" s="13"/>
      <c r="J28" s="13"/>
      <c r="K28" s="14"/>
      <c r="L28" s="15"/>
    </row>
    <row r="29" spans="1:12" ht="15" thickBot="1">
      <c r="A29" s="84" t="s">
        <v>133</v>
      </c>
      <c r="B29" s="84"/>
      <c r="C29" s="84"/>
      <c r="D29" s="84">
        <f>IF((B29+C29)&gt;0,(B29+C29)/H12,0)</f>
        <v>0</v>
      </c>
      <c r="E29" s="84">
        <f>IF(D29-0.5&gt;INT(D29),ROUNDUP(D29,0),INT(D29))</f>
        <v>0</v>
      </c>
      <c r="F29" s="85">
        <f>E29^2*H7</f>
        <v>0</v>
      </c>
      <c r="G29" s="27" t="s">
        <v>135</v>
      </c>
      <c r="H29" s="13"/>
      <c r="I29" s="13"/>
      <c r="J29" s="13"/>
      <c r="K29" s="14"/>
      <c r="L29" s="15"/>
    </row>
    <row r="30" spans="1:12" ht="15" thickBot="1">
      <c r="A30" s="47" t="s">
        <v>124</v>
      </c>
      <c r="B30" s="47"/>
      <c r="C30" s="47"/>
      <c r="D30" s="67">
        <f>IF((B30+C30)&gt;0,(B30+C30)/H12,0)</f>
        <v>0</v>
      </c>
      <c r="E30" s="67">
        <f>IF(D30-0.5&gt;INT(D30),ROUNDUP(D30,0),INT(D30))</f>
        <v>0</v>
      </c>
      <c r="F30" s="68">
        <f>E30^2*H7</f>
        <v>0</v>
      </c>
      <c r="G30" s="27" t="s">
        <v>135</v>
      </c>
      <c r="H30" s="13"/>
      <c r="I30" s="13"/>
      <c r="J30" s="13"/>
      <c r="K30" s="14"/>
      <c r="L30" s="15"/>
    </row>
    <row r="31" spans="1:9" ht="14.25">
      <c r="A31" s="49"/>
      <c r="B31" s="13"/>
      <c r="C31" s="13"/>
      <c r="D31" s="13"/>
      <c r="E31" s="13"/>
      <c r="F31" s="69"/>
      <c r="H31" s="14"/>
      <c r="I31" s="13"/>
    </row>
    <row r="32" spans="1:9" ht="14.25">
      <c r="A32" s="13"/>
      <c r="B32" s="13"/>
      <c r="C32" s="13"/>
      <c r="D32" s="13"/>
      <c r="E32" s="13"/>
      <c r="F32" s="69"/>
      <c r="G32" s="13"/>
      <c r="H32" s="14"/>
      <c r="I32" s="13"/>
    </row>
    <row r="33" spans="1:9" ht="14.25">
      <c r="A33" s="49" t="s">
        <v>170</v>
      </c>
      <c r="B33" s="114">
        <f>B6+B9+(B5*1.414*F9/F4)</f>
        <v>16.06498113207547</v>
      </c>
      <c r="C33" s="114" t="s">
        <v>171</v>
      </c>
      <c r="D33" s="13"/>
      <c r="E33" s="13"/>
      <c r="F33" s="69"/>
      <c r="G33" s="13"/>
      <c r="H33" s="14"/>
      <c r="I33" s="13"/>
    </row>
    <row r="34" spans="1:9" ht="14.25">
      <c r="A34" s="13" t="s">
        <v>181</v>
      </c>
      <c r="B34" s="119">
        <f>1.8/B35/B36*1000</f>
        <v>68.18181818181817</v>
      </c>
      <c r="C34" s="13" t="s">
        <v>184</v>
      </c>
      <c r="D34" s="13"/>
      <c r="E34" s="14"/>
      <c r="F34" s="69"/>
      <c r="G34" s="13"/>
      <c r="H34" s="13"/>
      <c r="I34" s="13"/>
    </row>
    <row r="35" spans="1:9" ht="14.25">
      <c r="A35" s="49" t="s">
        <v>182</v>
      </c>
      <c r="B35" s="13">
        <v>1.2</v>
      </c>
      <c r="C35" s="13" t="s">
        <v>185</v>
      </c>
      <c r="D35" s="13"/>
      <c r="E35" s="13"/>
      <c r="F35" s="69"/>
      <c r="G35" s="13"/>
      <c r="H35" s="14"/>
      <c r="I35" s="13"/>
    </row>
    <row r="36" spans="1:9" ht="14.25">
      <c r="A36" s="27" t="s">
        <v>167</v>
      </c>
      <c r="B36" s="27">
        <v>22</v>
      </c>
      <c r="C36" s="13" t="s">
        <v>183</v>
      </c>
      <c r="D36" s="13"/>
      <c r="E36" s="13"/>
      <c r="F36" s="69"/>
      <c r="G36" s="13"/>
      <c r="H36" s="14"/>
      <c r="I36" s="13"/>
    </row>
    <row r="37" spans="1:9" ht="14.25">
      <c r="A37" s="13"/>
      <c r="B37" s="27"/>
      <c r="C37" s="13"/>
      <c r="D37" s="13"/>
      <c r="E37" s="13"/>
      <c r="F37" s="69"/>
      <c r="G37" s="13">
        <f>2^12</f>
        <v>4096</v>
      </c>
      <c r="H37" s="14"/>
      <c r="I37" s="13"/>
    </row>
    <row r="38" spans="1:9" ht="14.25">
      <c r="A38" s="13"/>
      <c r="B38" s="27"/>
      <c r="C38" s="13"/>
      <c r="D38" s="13"/>
      <c r="E38" s="13"/>
      <c r="F38" s="69"/>
      <c r="G38" s="13"/>
      <c r="H38" s="14"/>
      <c r="I38" s="13"/>
    </row>
    <row r="39" spans="1:9" ht="14.25">
      <c r="A39" s="13"/>
      <c r="B39" s="13"/>
      <c r="C39" s="13"/>
      <c r="D39" s="13">
        <f>8.5*5+12*4.5+2.5+3+1</f>
        <v>103</v>
      </c>
      <c r="E39" s="13"/>
      <c r="F39" s="69"/>
      <c r="G39" s="13"/>
      <c r="H39" s="14"/>
      <c r="I39" s="13"/>
    </row>
    <row r="40" spans="1:9" ht="14.25">
      <c r="A40" s="13"/>
      <c r="B40" s="13"/>
      <c r="C40" s="13"/>
      <c r="D40" s="13"/>
      <c r="E40" s="13"/>
      <c r="F40" s="69"/>
      <c r="G40" s="13"/>
      <c r="H40" s="14"/>
      <c r="I40" s="13"/>
    </row>
    <row r="41" spans="1:9" ht="14.25">
      <c r="A41" s="13"/>
      <c r="B41" s="13"/>
      <c r="C41" s="13"/>
      <c r="D41" s="13"/>
      <c r="E41" s="13"/>
      <c r="F41" s="69"/>
      <c r="G41" s="13"/>
      <c r="H41" s="14"/>
      <c r="I41" s="13"/>
    </row>
    <row r="42" spans="1:9" ht="14.25">
      <c r="A42" s="13"/>
      <c r="B42" s="13"/>
      <c r="C42" s="13"/>
      <c r="D42" s="13"/>
      <c r="E42" s="13"/>
      <c r="F42" s="69"/>
      <c r="G42" s="13"/>
      <c r="H42" s="14"/>
      <c r="I42" s="13"/>
    </row>
    <row r="43" spans="1:9" ht="14.25">
      <c r="A43" s="13"/>
      <c r="B43" s="13"/>
      <c r="C43" s="13"/>
      <c r="D43" s="13"/>
      <c r="E43" s="13"/>
      <c r="F43" s="69"/>
      <c r="G43" s="13"/>
      <c r="H43" s="14"/>
      <c r="I43" s="13"/>
    </row>
    <row r="44" spans="1:9" ht="14.25">
      <c r="A44" s="13"/>
      <c r="B44" s="13"/>
      <c r="C44" s="13"/>
      <c r="D44" s="13"/>
      <c r="E44" s="13"/>
      <c r="F44" s="69"/>
      <c r="G44" s="13"/>
      <c r="H44" s="14"/>
      <c r="I44" s="13"/>
    </row>
    <row r="45" spans="1:9" ht="14.25">
      <c r="A45" s="13"/>
      <c r="B45" s="13"/>
      <c r="C45" s="13"/>
      <c r="D45" s="13"/>
      <c r="E45" s="13"/>
      <c r="F45" s="69"/>
      <c r="G45" s="13"/>
      <c r="H45" s="14"/>
      <c r="I45" s="13"/>
    </row>
    <row r="46" spans="1:9" ht="14.25">
      <c r="A46" s="13"/>
      <c r="B46" s="13"/>
      <c r="C46" s="13"/>
      <c r="D46" s="13"/>
      <c r="E46" s="13"/>
      <c r="F46" s="69"/>
      <c r="G46" s="13"/>
      <c r="H46" s="14"/>
      <c r="I46" s="13"/>
    </row>
    <row r="47" spans="1:9" ht="14.25">
      <c r="A47" s="13"/>
      <c r="B47" s="13"/>
      <c r="C47" s="13"/>
      <c r="D47" s="13"/>
      <c r="E47" s="13"/>
      <c r="F47" s="69"/>
      <c r="G47" s="13"/>
      <c r="H47" s="14"/>
      <c r="I47" s="13"/>
    </row>
    <row r="48" spans="1:9" ht="14.25">
      <c r="A48" s="13"/>
      <c r="B48" s="13"/>
      <c r="C48" s="13"/>
      <c r="D48" s="13"/>
      <c r="E48" s="13"/>
      <c r="F48" s="69"/>
      <c r="G48" s="13"/>
      <c r="H48" s="14"/>
      <c r="I48" s="13"/>
    </row>
  </sheetData>
  <sheetProtection selectLockedCells="1" selectUnlockedCells="1"/>
  <protectedRanges>
    <protectedRange password="D83C" sqref="B3:B15 D25 F31:F33 E16 C34 E26:E30 F14 B31:B33 C26:C30 B35:B65536 F35:F65536 I25:I30 F7:F9 F3:F5 B19:B24 F19:F24" name="区域2"/>
    <protectedRange sqref="B3:B15 E16 D25 F31:F33 F35:F65536 C34 F14 B31:B33 C26:C30 E26:E30 B35:B65536 I25:I30 F7:F9 F3:F5 B19:B24 F19:F24" name="区域1"/>
  </protectedRange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7">
      <selection activeCell="D47" sqref="D47"/>
    </sheetView>
  </sheetViews>
  <sheetFormatPr defaultColWidth="9.00390625" defaultRowHeight="14.25"/>
  <cols>
    <col min="1" max="1" width="18.50390625" style="0" customWidth="1"/>
    <col min="2" max="2" width="12.75390625" style="0" bestFit="1" customWidth="1"/>
    <col min="4" max="4" width="18.875" style="0" customWidth="1"/>
    <col min="5" max="5" width="10.875" style="0" customWidth="1"/>
    <col min="6" max="6" width="9.375" style="0" customWidth="1"/>
    <col min="7" max="7" width="9.375" style="34" customWidth="1"/>
    <col min="8" max="8" width="23.50390625" style="0" customWidth="1"/>
  </cols>
  <sheetData>
    <row r="1" spans="1:10" ht="21" thickBot="1">
      <c r="A1" s="19" t="s">
        <v>54</v>
      </c>
      <c r="B1" s="20"/>
      <c r="C1" s="20"/>
      <c r="D1" s="20"/>
      <c r="E1" s="20"/>
      <c r="F1" s="20"/>
      <c r="G1" s="32"/>
      <c r="H1" s="20"/>
      <c r="I1" s="21"/>
      <c r="J1" s="22"/>
    </row>
    <row r="2" spans="1:10" ht="26.25" thickBot="1">
      <c r="A2" s="7" t="s">
        <v>17</v>
      </c>
      <c r="B2" s="8" t="s">
        <v>18</v>
      </c>
      <c r="C2" s="8" t="s">
        <v>19</v>
      </c>
      <c r="D2" s="8" t="s">
        <v>20</v>
      </c>
      <c r="E2" s="8" t="s">
        <v>23</v>
      </c>
      <c r="F2" s="8" t="s">
        <v>24</v>
      </c>
      <c r="G2" s="33"/>
      <c r="H2" s="8" t="s">
        <v>21</v>
      </c>
      <c r="I2" s="9"/>
      <c r="J2" s="10" t="s">
        <v>16</v>
      </c>
    </row>
    <row r="3" spans="1:10" ht="15" thickBot="1">
      <c r="A3" s="36" t="s">
        <v>4</v>
      </c>
      <c r="B3" s="37">
        <v>160</v>
      </c>
      <c r="C3" s="36" t="s">
        <v>25</v>
      </c>
      <c r="D3" s="42" t="s">
        <v>71</v>
      </c>
      <c r="E3" s="26">
        <f>F12*E5</f>
        <v>38.13495782567948</v>
      </c>
      <c r="F3" s="26">
        <f>F12*F5</f>
        <v>39</v>
      </c>
      <c r="G3" s="27" t="s">
        <v>113</v>
      </c>
      <c r="H3" s="23" t="s">
        <v>1</v>
      </c>
      <c r="I3" s="24"/>
      <c r="J3" s="23" t="s">
        <v>37</v>
      </c>
    </row>
    <row r="4" spans="1:10" ht="15" thickBot="1">
      <c r="A4" s="47" t="s">
        <v>5</v>
      </c>
      <c r="B4" s="47">
        <v>264</v>
      </c>
      <c r="C4" s="47" t="s">
        <v>26</v>
      </c>
      <c r="D4" s="35" t="s">
        <v>77</v>
      </c>
      <c r="E4" s="30">
        <f>I14/(B18*((3.142*B19^2)/4))</f>
        <v>3.744336690755233</v>
      </c>
      <c r="F4" s="3">
        <f>ROUND(E4*0.8,0)</f>
        <v>3</v>
      </c>
      <c r="G4" s="27" t="s">
        <v>142</v>
      </c>
      <c r="H4" s="23" t="s">
        <v>49</v>
      </c>
      <c r="I4" s="23"/>
      <c r="J4" s="23" t="s">
        <v>27</v>
      </c>
    </row>
    <row r="5" spans="1:10" ht="15" thickBot="1">
      <c r="A5" s="36" t="s">
        <v>80</v>
      </c>
      <c r="B5" s="37">
        <v>30</v>
      </c>
      <c r="C5" s="36" t="s">
        <v>27</v>
      </c>
      <c r="D5" s="42" t="s">
        <v>85</v>
      </c>
      <c r="E5" s="26">
        <f>(B5+B9+B10)*(1/B11*1000)/(2*B16*B13)</f>
        <v>14.667291471415183</v>
      </c>
      <c r="F5" s="26">
        <f>ROUNDUP(E5,0)</f>
        <v>15</v>
      </c>
      <c r="G5" s="27" t="s">
        <v>113</v>
      </c>
      <c r="H5" s="23" t="s">
        <v>50</v>
      </c>
      <c r="I5" s="23"/>
      <c r="J5" s="23" t="s">
        <v>27</v>
      </c>
    </row>
    <row r="6" spans="1:10" ht="15" thickBot="1">
      <c r="A6" s="47" t="s">
        <v>81</v>
      </c>
      <c r="B6" s="47">
        <v>8</v>
      </c>
      <c r="C6" s="47" t="s">
        <v>76</v>
      </c>
      <c r="D6" s="35" t="s">
        <v>86</v>
      </c>
      <c r="E6" s="4">
        <f>I16/(B18*((3.142*B20^2)/4))</f>
        <v>20.004435425038476</v>
      </c>
      <c r="F6" s="3">
        <f>ROUND(E6*0.8,0)</f>
        <v>16</v>
      </c>
      <c r="G6" s="27" t="s">
        <v>142</v>
      </c>
      <c r="H6" s="23" t="s">
        <v>22</v>
      </c>
      <c r="I6" s="24"/>
      <c r="J6" s="23" t="s">
        <v>34</v>
      </c>
    </row>
    <row r="7" spans="1:10" ht="15" thickBot="1">
      <c r="A7" s="36" t="s">
        <v>7</v>
      </c>
      <c r="B7" s="37">
        <v>240</v>
      </c>
      <c r="C7" s="36" t="s">
        <v>28</v>
      </c>
      <c r="D7" s="42"/>
      <c r="E7" s="26"/>
      <c r="F7" s="26"/>
      <c r="G7" s="26"/>
      <c r="H7" s="23" t="s">
        <v>52</v>
      </c>
      <c r="I7" s="24"/>
      <c r="J7" s="23" t="s">
        <v>27</v>
      </c>
    </row>
    <row r="8" spans="1:10" ht="15" thickBot="1">
      <c r="A8" s="47" t="s">
        <v>8</v>
      </c>
      <c r="B8" s="47">
        <v>0.85</v>
      </c>
      <c r="C8" s="47"/>
      <c r="D8" s="105" t="s">
        <v>160</v>
      </c>
      <c r="E8">
        <f>(((B3*1.2)/(2*B25/B27))-(B5+B9))/(2*B11*1000*B6*0.1)*B12*1000000</f>
        <v>59.230769230769205</v>
      </c>
      <c r="F8">
        <v>50</v>
      </c>
      <c r="G8" s="26" t="s">
        <v>135</v>
      </c>
      <c r="H8" s="23" t="s">
        <v>3</v>
      </c>
      <c r="I8" s="24">
        <f>1/B11*1000</f>
        <v>20</v>
      </c>
      <c r="J8" s="23" t="s">
        <v>35</v>
      </c>
    </row>
    <row r="9" spans="1:10" ht="15" thickBot="1">
      <c r="A9" s="36" t="s">
        <v>9</v>
      </c>
      <c r="B9" s="37">
        <v>1</v>
      </c>
      <c r="C9" s="36" t="s">
        <v>27</v>
      </c>
      <c r="D9" s="106" t="s">
        <v>154</v>
      </c>
      <c r="E9">
        <f>B6*1.05</f>
        <v>8.4</v>
      </c>
      <c r="F9" t="s">
        <v>38</v>
      </c>
      <c r="G9" s="26">
        <v>46</v>
      </c>
      <c r="H9" s="23" t="s">
        <v>0</v>
      </c>
      <c r="I9" s="24">
        <f>I8*B12</f>
        <v>16</v>
      </c>
      <c r="J9" s="23" t="s">
        <v>35</v>
      </c>
    </row>
    <row r="10" spans="1:10" ht="15" thickBot="1">
      <c r="A10" s="47" t="s">
        <v>10</v>
      </c>
      <c r="B10" s="47">
        <v>0.3</v>
      </c>
      <c r="C10" s="47" t="s">
        <v>27</v>
      </c>
      <c r="D10" s="111" t="s">
        <v>161</v>
      </c>
      <c r="E10" s="112"/>
      <c r="F10" s="112"/>
      <c r="G10" s="113"/>
      <c r="H10" s="23" t="s">
        <v>11</v>
      </c>
      <c r="I10" s="24">
        <f>B7/B8</f>
        <v>282.3529411764706</v>
      </c>
      <c r="J10" s="23" t="s">
        <v>28</v>
      </c>
    </row>
    <row r="11" spans="1:10" ht="15" thickBot="1">
      <c r="A11" s="36" t="s">
        <v>12</v>
      </c>
      <c r="B11" s="37">
        <f>B49</f>
        <v>50</v>
      </c>
      <c r="C11" s="36" t="s">
        <v>29</v>
      </c>
      <c r="G11" s="44"/>
      <c r="H11" s="23"/>
      <c r="I11" s="24"/>
      <c r="J11" s="23"/>
    </row>
    <row r="12" spans="1:10" ht="15" thickBot="1">
      <c r="A12" s="47" t="s">
        <v>48</v>
      </c>
      <c r="B12" s="47">
        <v>0.8</v>
      </c>
      <c r="C12" s="47"/>
      <c r="D12" s="46" t="s">
        <v>190</v>
      </c>
      <c r="E12" s="45">
        <f>(0.5*B3*1.3*B12)/(B5+B9+B10)</f>
        <v>2.65814696485623</v>
      </c>
      <c r="F12" s="37">
        <f>INT(E12*10)/10</f>
        <v>2.6</v>
      </c>
      <c r="G12" s="27"/>
      <c r="H12" s="43" t="s">
        <v>53</v>
      </c>
      <c r="I12" s="24">
        <f>B5/F5</f>
        <v>2</v>
      </c>
      <c r="J12" s="23" t="s">
        <v>36</v>
      </c>
    </row>
    <row r="13" spans="1:10" ht="17.25" thickBot="1">
      <c r="A13" s="36" t="s">
        <v>60</v>
      </c>
      <c r="B13" s="37">
        <v>194</v>
      </c>
      <c r="C13" s="36" t="s">
        <v>57</v>
      </c>
      <c r="D13" s="42" t="s">
        <v>51</v>
      </c>
      <c r="E13" s="27">
        <f>F15*F12</f>
        <v>39</v>
      </c>
      <c r="F13" s="27">
        <f>ROUNDUP(E13,0)</f>
        <v>39</v>
      </c>
      <c r="G13" s="27" t="s">
        <v>113</v>
      </c>
      <c r="H13" s="43" t="s">
        <v>2</v>
      </c>
      <c r="I13" s="24"/>
      <c r="J13" s="23" t="s">
        <v>35</v>
      </c>
    </row>
    <row r="14" spans="1:10" ht="17.25" thickBot="1">
      <c r="A14" s="47" t="s">
        <v>61</v>
      </c>
      <c r="B14" s="47">
        <v>223</v>
      </c>
      <c r="C14" s="47" t="s">
        <v>57</v>
      </c>
      <c r="D14" s="35" t="s">
        <v>77</v>
      </c>
      <c r="E14" s="30">
        <f>I14/(B18*((3.142*B19^2)/4))</f>
        <v>3.744336690755233</v>
      </c>
      <c r="F14" s="3">
        <f>ROUND(E14*0.8,0)</f>
        <v>3</v>
      </c>
      <c r="G14" s="27" t="s">
        <v>142</v>
      </c>
      <c r="H14" s="43" t="s">
        <v>70</v>
      </c>
      <c r="I14" s="24">
        <f>2*B7/(B8*B3*1.2)</f>
        <v>2.9411764705882355</v>
      </c>
      <c r="J14" s="23" t="s">
        <v>38</v>
      </c>
    </row>
    <row r="15" spans="1:10" ht="15" thickBot="1">
      <c r="A15" s="36" t="s">
        <v>55</v>
      </c>
      <c r="B15" s="37">
        <v>0.4</v>
      </c>
      <c r="C15" s="36"/>
      <c r="D15" s="42" t="s">
        <v>85</v>
      </c>
      <c r="E15" s="27">
        <f>((B5+B9+B10)*I8)/(2*B16*B13)</f>
        <v>14.667291471415183</v>
      </c>
      <c r="F15">
        <f>ROUNDUP(E15,0)</f>
        <v>15</v>
      </c>
      <c r="G15" s="27" t="s">
        <v>113</v>
      </c>
      <c r="H15" s="43" t="s">
        <v>69</v>
      </c>
      <c r="I15" s="25"/>
      <c r="J15" s="23" t="s">
        <v>38</v>
      </c>
    </row>
    <row r="16" spans="1:10" ht="15" thickBot="1">
      <c r="A16" s="104" t="s">
        <v>58</v>
      </c>
      <c r="B16" s="47">
        <v>0.11</v>
      </c>
      <c r="C16" s="47" t="s">
        <v>59</v>
      </c>
      <c r="D16" s="35" t="s">
        <v>86</v>
      </c>
      <c r="E16" s="11">
        <f>I16/(B18*((3.142*B20^2)/4))</f>
        <v>20.004435425038476</v>
      </c>
      <c r="F16" s="3">
        <f>ROUND(E16*0.8,0)</f>
        <v>16</v>
      </c>
      <c r="G16" s="27" t="s">
        <v>142</v>
      </c>
      <c r="H16" s="43" t="s">
        <v>87</v>
      </c>
      <c r="I16" s="24">
        <f>B6/2^0.5</f>
        <v>5.65685424949238</v>
      </c>
      <c r="J16" s="23" t="s">
        <v>38</v>
      </c>
    </row>
    <row r="17" spans="1:10" ht="15" thickBot="1">
      <c r="A17" s="36" t="s">
        <v>56</v>
      </c>
      <c r="B17" s="37">
        <v>0.017</v>
      </c>
      <c r="C17" s="36"/>
      <c r="D17" s="27" t="s">
        <v>90</v>
      </c>
      <c r="E17">
        <f>B3*1.3/2/E13</f>
        <v>2.6666666666666665</v>
      </c>
      <c r="F17">
        <f>ROUNDDOWN(E17,0)</f>
        <v>2</v>
      </c>
      <c r="G17" s="27" t="s">
        <v>27</v>
      </c>
      <c r="H17" s="43" t="s">
        <v>14</v>
      </c>
      <c r="I17" s="25"/>
      <c r="J17" s="23" t="s">
        <v>38</v>
      </c>
    </row>
    <row r="18" spans="1:10" ht="17.25" thickBot="1">
      <c r="A18" s="47" t="s">
        <v>74</v>
      </c>
      <c r="B18" s="47">
        <v>4</v>
      </c>
      <c r="C18" s="47" t="s">
        <v>73</v>
      </c>
      <c r="D18" s="11"/>
      <c r="E18" s="27"/>
      <c r="H18" s="43" t="s">
        <v>15</v>
      </c>
      <c r="I18" s="25"/>
      <c r="J18" s="23" t="s">
        <v>38</v>
      </c>
    </row>
    <row r="19" spans="1:10" ht="15" thickBot="1">
      <c r="A19" s="36" t="s">
        <v>78</v>
      </c>
      <c r="B19" s="37">
        <v>0.5</v>
      </c>
      <c r="C19" s="36" t="s">
        <v>79</v>
      </c>
      <c r="D19" s="13"/>
      <c r="F19" s="124"/>
      <c r="H19" s="43" t="s">
        <v>89</v>
      </c>
      <c r="I19" s="24">
        <f>0.5*(B3*1.2*B12/(B5+B9+B10))</f>
        <v>2.453674121405751</v>
      </c>
      <c r="J19" s="23"/>
    </row>
    <row r="20" spans="1:10" ht="17.25" thickBot="1">
      <c r="A20" s="47" t="s">
        <v>82</v>
      </c>
      <c r="B20" s="47">
        <v>0.3</v>
      </c>
      <c r="C20" s="47" t="s">
        <v>79</v>
      </c>
      <c r="D20" s="120" t="s">
        <v>186</v>
      </c>
      <c r="E20" s="120">
        <f>E13/E15</f>
        <v>2.6589776357827475</v>
      </c>
      <c r="F20" s="120">
        <f>F15*E20</f>
        <v>39.88466453674121</v>
      </c>
      <c r="G20" s="27"/>
      <c r="H20" s="23" t="s">
        <v>63</v>
      </c>
      <c r="I20" s="23">
        <f>B13*B14/10000</f>
        <v>4.3262</v>
      </c>
      <c r="J20" s="23" t="s">
        <v>62</v>
      </c>
    </row>
    <row r="21" spans="1:10" ht="16.5">
      <c r="A21" t="s">
        <v>143</v>
      </c>
      <c r="B21" t="s">
        <v>189</v>
      </c>
      <c r="D21" s="124"/>
      <c r="F21" s="13"/>
      <c r="G21" s="27"/>
      <c r="H21" s="23" t="s">
        <v>64</v>
      </c>
      <c r="I21" s="23">
        <f>(B7/(B17*B16*B11))^(4/3)/10000</f>
        <v>3.5145212572690974</v>
      </c>
      <c r="J21" s="23" t="s">
        <v>62</v>
      </c>
    </row>
    <row r="22" spans="5:10" ht="18.75">
      <c r="E22">
        <f>40/17</f>
        <v>2.3529411764705883</v>
      </c>
      <c r="F22">
        <f>40/18</f>
        <v>2.2222222222222223</v>
      </c>
      <c r="G22" s="13"/>
      <c r="H22" s="23" t="s">
        <v>65</v>
      </c>
      <c r="I22" s="23">
        <f>(PI()*E26^2)/4</f>
        <v>0.19634954084936207</v>
      </c>
      <c r="J22" s="23" t="s">
        <v>68</v>
      </c>
    </row>
    <row r="23" spans="6:10" ht="15" thickBot="1">
      <c r="F23" s="126"/>
      <c r="G23" s="27"/>
      <c r="H23" s="23"/>
      <c r="I23" s="23"/>
      <c r="J23" s="23"/>
    </row>
    <row r="24" spans="1:10" ht="21" thickBot="1">
      <c r="A24" s="38" t="s">
        <v>32</v>
      </c>
      <c r="B24" s="39"/>
      <c r="C24" s="13"/>
      <c r="D24" s="16" t="s">
        <v>88</v>
      </c>
      <c r="E24" s="2"/>
      <c r="F24" s="2"/>
      <c r="H24" s="23"/>
      <c r="I24" s="23"/>
      <c r="J24" s="23"/>
    </row>
    <row r="25" spans="1:7" ht="15" thickBot="1">
      <c r="A25" s="40" t="s">
        <v>71</v>
      </c>
      <c r="B25" s="41">
        <f>F13</f>
        <v>39</v>
      </c>
      <c r="C25" s="27" t="s">
        <v>113</v>
      </c>
      <c r="D25" s="31" t="s">
        <v>66</v>
      </c>
      <c r="E25" s="3">
        <v>3.5</v>
      </c>
      <c r="F25" s="29" t="s">
        <v>76</v>
      </c>
      <c r="G25" s="27"/>
    </row>
    <row r="26" spans="1:7" ht="15" thickBot="1">
      <c r="A26" s="40" t="s">
        <v>77</v>
      </c>
      <c r="B26" s="41">
        <f>F14</f>
        <v>3</v>
      </c>
      <c r="C26" s="27" t="s">
        <v>142</v>
      </c>
      <c r="D26" s="31" t="s">
        <v>67</v>
      </c>
      <c r="E26" s="3">
        <v>0.5</v>
      </c>
      <c r="F26" s="29" t="s">
        <v>79</v>
      </c>
      <c r="G26" s="27"/>
    </row>
    <row r="27" spans="1:9" ht="15" thickBot="1">
      <c r="A27" s="40" t="s">
        <v>83</v>
      </c>
      <c r="B27" s="41">
        <f>F15</f>
        <v>15</v>
      </c>
      <c r="C27" s="27" t="s">
        <v>113</v>
      </c>
      <c r="D27" s="31" t="s">
        <v>40</v>
      </c>
      <c r="E27" s="3">
        <v>16</v>
      </c>
      <c r="F27" s="29"/>
      <c r="G27" s="27"/>
      <c r="H27" s="16" t="s">
        <v>44</v>
      </c>
      <c r="I27" s="17"/>
    </row>
    <row r="28" spans="1:9" ht="15" thickBot="1">
      <c r="A28" s="40" t="s">
        <v>84</v>
      </c>
      <c r="B28" s="41">
        <f>F16</f>
        <v>16</v>
      </c>
      <c r="C28" s="27" t="s">
        <v>142</v>
      </c>
      <c r="D28" s="31" t="s">
        <v>41</v>
      </c>
      <c r="E28" s="3">
        <v>0.5</v>
      </c>
      <c r="F28" s="29"/>
      <c r="G28" s="27"/>
      <c r="H28" s="16" t="s">
        <v>45</v>
      </c>
      <c r="I28" s="17"/>
    </row>
    <row r="29" spans="1:9" ht="14.25">
      <c r="A29" s="121" t="s">
        <v>187</v>
      </c>
      <c r="B29" s="122">
        <f>F20</f>
        <v>39.88466453674121</v>
      </c>
      <c r="C29" s="123" t="s">
        <v>188</v>
      </c>
      <c r="D29" s="31" t="s">
        <v>42</v>
      </c>
      <c r="E29" s="3">
        <v>0.1</v>
      </c>
      <c r="F29" s="29"/>
      <c r="G29" s="27"/>
      <c r="H29" s="16" t="s">
        <v>46</v>
      </c>
      <c r="I29" s="17"/>
    </row>
    <row r="30" spans="1:9" ht="14.25">
      <c r="A30" s="28"/>
      <c r="B30" s="28"/>
      <c r="C30" s="28"/>
      <c r="D30" s="31" t="s">
        <v>43</v>
      </c>
      <c r="E30" s="31">
        <f>E27/(B5/F5)</f>
        <v>8</v>
      </c>
      <c r="F30" s="29"/>
      <c r="G30" s="27"/>
      <c r="H30" s="16" t="s">
        <v>47</v>
      </c>
      <c r="I30" s="18"/>
    </row>
    <row r="31" spans="1:7" ht="14.25">
      <c r="A31" s="28"/>
      <c r="B31" s="28"/>
      <c r="C31" s="28"/>
      <c r="D31" s="31" t="s">
        <v>72</v>
      </c>
      <c r="E31" s="31">
        <f>E25/(B18*I22)</f>
        <v>4.45633840657307</v>
      </c>
      <c r="F31" s="29" t="s">
        <v>75</v>
      </c>
      <c r="G31" s="27"/>
    </row>
    <row r="32" spans="1:3" ht="14.25">
      <c r="A32" s="28"/>
      <c r="C32" s="28"/>
    </row>
    <row r="33" spans="1:2" ht="14.25">
      <c r="A33" s="28"/>
      <c r="B33" s="28"/>
    </row>
    <row r="34" spans="1:4" ht="14.25">
      <c r="A34" t="s">
        <v>144</v>
      </c>
      <c r="B34" s="28"/>
      <c r="C34" s="28"/>
      <c r="D34" s="107" t="s">
        <v>149</v>
      </c>
    </row>
    <row r="35" spans="1:6" ht="14.25">
      <c r="A35" t="s">
        <v>145</v>
      </c>
      <c r="B35">
        <v>3.5</v>
      </c>
      <c r="C35" t="s">
        <v>38</v>
      </c>
      <c r="D35" s="107" t="s">
        <v>150</v>
      </c>
      <c r="E35">
        <f>B37/(B25/B27)</f>
        <v>143.57538461538462</v>
      </c>
      <c r="F35" t="s">
        <v>152</v>
      </c>
    </row>
    <row r="36" spans="1:6" ht="14.25">
      <c r="A36" t="s">
        <v>146</v>
      </c>
      <c r="B36">
        <f>(B6+B35)/(B25/B27)</f>
        <v>4.423076923076923</v>
      </c>
      <c r="C36" t="s">
        <v>38</v>
      </c>
      <c r="D36" s="107" t="s">
        <v>151</v>
      </c>
      <c r="E36">
        <f>(B6+B35)*1.1</f>
        <v>12.65</v>
      </c>
      <c r="F36" t="s">
        <v>153</v>
      </c>
    </row>
    <row r="37" spans="1:3" ht="14.25">
      <c r="A37" t="s">
        <v>147</v>
      </c>
      <c r="B37">
        <f>B4*1.414</f>
        <v>373.296</v>
      </c>
      <c r="C37" t="s">
        <v>148</v>
      </c>
    </row>
    <row r="39" spans="1:4" ht="14.25">
      <c r="A39" t="s">
        <v>155</v>
      </c>
      <c r="B39">
        <f>10^6/(4*PI()^2*(0.1*B11)^2*(B25/B27)^2*F8)</f>
        <v>2.9976681550987503</v>
      </c>
      <c r="C39">
        <v>2.2</v>
      </c>
      <c r="D39" s="107" t="s">
        <v>158</v>
      </c>
    </row>
    <row r="40" spans="1:4" ht="14.25">
      <c r="A40" t="s">
        <v>156</v>
      </c>
      <c r="B40" s="110" t="str">
        <f>IF((B36*B12*I8)/C39/4&lt;B4*1.4*0.1,"OK","NO")</f>
        <v>OK</v>
      </c>
      <c r="C40">
        <f>(B36*B12*I8)/C39/4</f>
        <v>8.041958041958042</v>
      </c>
      <c r="D40" t="s">
        <v>27</v>
      </c>
    </row>
    <row r="41" spans="1:6" ht="14.25">
      <c r="A41" s="5" t="s">
        <v>157</v>
      </c>
      <c r="C41">
        <f>(2*PI()*((B25/B27)^2*F8*C39)^0.5)^-1*1000</f>
        <v>5.836472466601285</v>
      </c>
      <c r="D41" t="s">
        <v>29</v>
      </c>
      <c r="F41" s="34"/>
    </row>
    <row r="42" spans="1:4" ht="14.25">
      <c r="A42" t="s">
        <v>159</v>
      </c>
      <c r="C42" s="108">
        <f>B11*0.1</f>
        <v>5</v>
      </c>
      <c r="D42" s="6" t="s">
        <v>29</v>
      </c>
    </row>
    <row r="43" ht="14.25">
      <c r="B43" s="109"/>
    </row>
    <row r="44" spans="1:3" ht="14.25">
      <c r="A44" t="s">
        <v>164</v>
      </c>
      <c r="B44">
        <v>260</v>
      </c>
      <c r="C44" t="s">
        <v>165</v>
      </c>
    </row>
    <row r="45" spans="1:3" ht="14.25">
      <c r="A45" t="s">
        <v>162</v>
      </c>
      <c r="B45">
        <f>B44/B6/0.2</f>
        <v>162.5</v>
      </c>
      <c r="C45" t="s">
        <v>163</v>
      </c>
    </row>
    <row r="47" spans="1:3" ht="14.25">
      <c r="A47" s="108" t="s">
        <v>166</v>
      </c>
      <c r="B47">
        <v>22</v>
      </c>
      <c r="C47" t="s">
        <v>56</v>
      </c>
    </row>
    <row r="48" spans="1:3" ht="14.25">
      <c r="A48" s="108" t="s">
        <v>167</v>
      </c>
      <c r="B48">
        <v>1</v>
      </c>
      <c r="C48" t="s">
        <v>169</v>
      </c>
    </row>
    <row r="49" spans="1:4" ht="14.25">
      <c r="A49" s="108" t="s">
        <v>168</v>
      </c>
      <c r="B49">
        <f>1.1/B48/B47*1000</f>
        <v>50</v>
      </c>
      <c r="C49" t="s">
        <v>29</v>
      </c>
      <c r="D49" s="125"/>
    </row>
    <row r="52" ht="14.25">
      <c r="D52">
        <f>30*6.5/16</f>
        <v>12.1875</v>
      </c>
    </row>
    <row r="55" ht="14.25">
      <c r="D55" s="124"/>
    </row>
    <row r="64" ht="14.25">
      <c r="G64"/>
    </row>
  </sheetData>
  <sheetProtection/>
  <protectedRanges>
    <protectedRange password="D83C" sqref="G20:G23 E4 E14:F14 E20 B2:B17 G2:G17 F23 F2:F8 F10 F12:F13 F16 C25:C28 F20:F21 B24:B31 B33:B34" name="区域2"/>
    <protectedRange sqref="G20:G23 E4 E14:F14 E20 B2:B17 G2:G17 F23 F2:F8 F10 F12:F13 F16 C25:C28 F20:F21 B24:B31 B33:B34" name="区域1"/>
  </protectedRanges>
  <printOptions/>
  <pageMargins left="0.75" right="0.75" top="1" bottom="1" header="0.5" footer="0.5"/>
  <pageSetup horizontalDpi="600" verticalDpi="600" orientation="portrait" paperSize="9" r:id="rId1"/>
  <ignoredErrors>
    <ignoredError sqref="F5 F14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秋风送晚</cp:lastModifiedBy>
  <dcterms:created xsi:type="dcterms:W3CDTF">2007-06-01T15:39:58Z</dcterms:created>
  <dcterms:modified xsi:type="dcterms:W3CDTF">2008-02-29T05:53:51Z</dcterms:modified>
  <cp:category/>
  <cp:version/>
  <cp:contentType/>
  <cp:contentStatus/>
</cp:coreProperties>
</file>