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<sst xmlns="http://schemas.openxmlformats.org/spreadsheetml/2006/main" count="55" uniqueCount="37">
  <si>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槽宽</t>
  </si>
  <si>
    <t>槽深</t>
  </si>
  <si>
    <t>底边周长</t>
  </si>
  <si>
    <t>绕组号</t>
  </si>
  <si>
    <t>圈数</t>
  </si>
  <si>
    <t>每层圈数</t>
  </si>
  <si>
    <t>绕线层数</t>
  </si>
  <si>
    <t>线外径</t>
  </si>
  <si>
    <t>线规格</t>
  </si>
  <si>
    <t>留头长度</t>
  </si>
  <si>
    <t>留头数量</t>
  </si>
  <si>
    <t>股数</t>
  </si>
  <si>
    <t>直流电阻
最大值(Ω)</t>
  </si>
  <si>
    <t>线重量
(g)</t>
  </si>
  <si>
    <t>绕线长度
(mm)</t>
  </si>
  <si>
    <t>单位线重
(g/m)</t>
  </si>
  <si>
    <t>单位长度电阻
(Ω/km)</t>
  </si>
  <si>
    <t>绕线宽度
(mm)</t>
  </si>
  <si>
    <t>绕线高度
(mm)</t>
  </si>
  <si>
    <t>胶带</t>
  </si>
  <si>
    <t>隔条1宽度
(mm)</t>
  </si>
  <si>
    <t>隔条2宽度
(mm)</t>
  </si>
  <si>
    <t>隔条1长度
(mm)</t>
  </si>
  <si>
    <t>隔条1圈数</t>
  </si>
  <si>
    <t>隔条2圈数</t>
  </si>
  <si>
    <t>胶带长度
(mm)</t>
  </si>
  <si>
    <t>绕线高度
余量(mm)</t>
  </si>
  <si>
    <t>总高度
(mm)</t>
  </si>
  <si>
    <t>隔条2长度
(mm)</t>
  </si>
  <si>
    <t>隔条1宽度
(mm)</t>
  </si>
  <si>
    <t>隔条2宽度
(mm)</t>
  </si>
  <si>
    <t>绕线长度
(mm)</t>
  </si>
  <si>
    <t>线重量
(g)</t>
  </si>
  <si>
    <t>隔条1长度
(mm)</t>
  </si>
  <si>
    <t>胶带长度
(mm)</t>
  </si>
  <si>
    <t>层间绝缘</t>
  </si>
  <si>
    <t>组间绝缘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</si>
</sst>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8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5" sqref="H15"/>
    </sheetView>
  </sheetViews>
  <sheetFormatPr defaultColWidth="9.00390625" defaultRowHeight="14.25"/>
  <cols>
    <col min="1" max="1" width="7.50390625" style="0" bestFit="1" customWidth="1"/>
    <col min="2" max="2" width="8.625" style="0" customWidth="1"/>
    <col min="3" max="3" width="5.50390625" style="0" bestFit="1" customWidth="1"/>
    <col min="4" max="5" width="9.50390625" style="0" bestFit="1" customWidth="1"/>
    <col min="6" max="6" width="7.50390625" style="0" bestFit="1" customWidth="1"/>
    <col min="7" max="7" width="9.50390625" style="0" bestFit="1" customWidth="1"/>
    <col min="8" max="8" width="13.875" style="0" bestFit="1" customWidth="1"/>
    <col min="9" max="9" width="8.50390625" style="0" bestFit="1" customWidth="1"/>
    <col min="10" max="11" width="10.50390625" style="0" bestFit="1" customWidth="1"/>
    <col min="12" max="13" width="10.50390625" style="0" customWidth="1"/>
    <col min="14" max="18" width="9.50390625" style="0" bestFit="1" customWidth="1"/>
    <col min="19" max="20" width="11.625" style="0" bestFit="1" customWidth="1"/>
    <col min="21" max="21" width="10.00390625" style="0" customWidth="1"/>
    <col min="22" max="22" width="10.25390625" style="0" customWidth="1"/>
  </cols>
  <sheetData>
    <row r="1" spans="1:23" ht="28.5">
      <c r="A1" t="s">
        <v>0</v>
      </c>
      <c r="B1" s="18"/>
      <c r="C1" t="s">
        <v>1</v>
      </c>
      <c r="E1" t="s">
        <v>2</v>
      </c>
      <c r="J1" s="2" t="s">
        <v>29</v>
      </c>
      <c r="K1" s="2" t="s">
        <v>30</v>
      </c>
      <c r="R1" s="7" t="s">
        <v>31</v>
      </c>
      <c r="S1" s="7" t="s">
        <v>32</v>
      </c>
      <c r="U1" s="2" t="s">
        <v>33</v>
      </c>
      <c r="V1" s="2" t="s">
        <v>28</v>
      </c>
      <c r="W1" s="2" t="s">
        <v>34</v>
      </c>
    </row>
    <row r="3" spans="1:23" s="1" customFormat="1" ht="28.5">
      <c r="A3" s="1" t="s">
        <v>3</v>
      </c>
      <c r="B3" s="6" t="s">
        <v>8</v>
      </c>
      <c r="C3" s="6" t="s">
        <v>11</v>
      </c>
      <c r="D3" s="6" t="s">
        <v>9</v>
      </c>
      <c r="E3" s="6" t="s">
        <v>10</v>
      </c>
      <c r="F3" s="6" t="s">
        <v>7</v>
      </c>
      <c r="G3" s="7" t="s">
        <v>15</v>
      </c>
      <c r="H3" s="7" t="s">
        <v>16</v>
      </c>
      <c r="I3" s="6" t="s">
        <v>4</v>
      </c>
      <c r="J3" s="2" t="s">
        <v>20</v>
      </c>
      <c r="K3" s="2" t="s">
        <v>21</v>
      </c>
      <c r="L3" s="2" t="s">
        <v>23</v>
      </c>
      <c r="M3" s="2" t="s">
        <v>24</v>
      </c>
      <c r="N3" s="6" t="s">
        <v>5</v>
      </c>
      <c r="O3" s="6" t="s">
        <v>6</v>
      </c>
      <c r="P3" s="7" t="s">
        <v>17</v>
      </c>
      <c r="Q3" s="7" t="s">
        <v>18</v>
      </c>
      <c r="R3" s="7" t="s">
        <v>14</v>
      </c>
      <c r="S3" s="7" t="s">
        <v>13</v>
      </c>
      <c r="T3" s="7" t="s">
        <v>12</v>
      </c>
      <c r="U3" s="2" t="s">
        <v>22</v>
      </c>
      <c r="V3" s="2" t="s">
        <v>28</v>
      </c>
      <c r="W3" s="2" t="s">
        <v>25</v>
      </c>
    </row>
    <row r="4" spans="2:22" ht="14.25">
      <c r="B4" s="8"/>
      <c r="C4" s="8">
        <v>1</v>
      </c>
      <c r="D4" s="8">
        <v>50</v>
      </c>
      <c r="E4" s="8">
        <f>C4*2</f>
        <v>2</v>
      </c>
      <c r="F4" s="8"/>
      <c r="G4" s="8"/>
      <c r="H4" s="8"/>
      <c r="I4" s="8"/>
      <c r="J4" s="13"/>
      <c r="K4" s="13"/>
      <c r="L4" s="13"/>
      <c r="M4" s="13"/>
      <c r="N4" s="8" t="e">
        <f>INT((B1-J4-K4)/F4/C4)</f>
        <v>#DIV/0!</v>
      </c>
      <c r="O4" s="8" t="e">
        <f>CEILING(I4/N4,1)</f>
        <v>#DIV/0!</v>
      </c>
      <c r="P4" s="8">
        <f>F4*C4*I4</f>
        <v>0</v>
      </c>
      <c r="Q4" s="8" t="e">
        <f>F4*O4+F5*I5*C5</f>
        <v>#DIV/0!</v>
      </c>
      <c r="R4" s="8" t="e">
        <f>(F1+Q4*3.14)*I4*C4+D4*E4</f>
        <v>#DIV/0!</v>
      </c>
      <c r="S4" s="8" t="e">
        <f>G4*R4/1000</f>
        <v>#DIV/0!</v>
      </c>
      <c r="T4" s="9" t="e">
        <f>(R4-D4*E4)/C4/C4*H4/1000000</f>
        <v>#DIV/0!</v>
      </c>
      <c r="U4" t="e">
        <f>(R4-D4*E4)/I4/C4*L4+10</f>
        <v>#DIV/0!</v>
      </c>
      <c r="V4" t="e">
        <f>(R4-D4*E4)/I4/C4*M4+10</f>
        <v>#DIV/0!</v>
      </c>
    </row>
    <row r="5" spans="2:23" ht="14.25">
      <c r="B5" s="16" t="s">
        <v>35</v>
      </c>
      <c r="C5" s="16"/>
      <c r="D5" s="13"/>
      <c r="E5" s="13"/>
      <c r="F5" s="16"/>
      <c r="G5" s="13"/>
      <c r="H5" s="13"/>
      <c r="I5" s="16" t="e">
        <f>O4-1</f>
        <v>#DIV/0!</v>
      </c>
      <c r="N5" s="13"/>
      <c r="O5" s="13"/>
      <c r="P5" s="13"/>
      <c r="Q5" s="13"/>
      <c r="R5" s="13"/>
      <c r="S5" s="13"/>
      <c r="T5" s="14"/>
      <c r="W5" s="15" t="e">
        <f>(F1+(Q6+Q4)*3.14)*I5*C5+20</f>
        <v>#DIV/0!</v>
      </c>
    </row>
    <row r="6" spans="2:23" s="3" customFormat="1" ht="14.25">
      <c r="B6" s="12" t="s">
        <v>36</v>
      </c>
      <c r="F6" s="12">
        <v>0.055</v>
      </c>
      <c r="I6" s="12"/>
      <c r="Q6" s="12">
        <f>F6*I6</f>
        <v>0</v>
      </c>
      <c r="T6" s="4"/>
      <c r="W6" s="12" t="e">
        <f>(F1+(Q6+Q4)*3.14)*I6+20</f>
        <v>#DIV/0!</v>
      </c>
    </row>
    <row r="7" spans="1:22" ht="14.25">
      <c r="A7" s="5"/>
      <c r="B7" s="8"/>
      <c r="C7" s="8">
        <v>1</v>
      </c>
      <c r="D7" s="8">
        <v>50</v>
      </c>
      <c r="E7" s="8">
        <f>C7*2</f>
        <v>2</v>
      </c>
      <c r="F7" s="17"/>
      <c r="G7" s="17"/>
      <c r="H7" s="17"/>
      <c r="I7" s="17"/>
      <c r="N7" s="8" t="e">
        <f>INT((B1-J7-K7)/F7/C7)</f>
        <v>#DIV/0!</v>
      </c>
      <c r="O7" s="8" t="e">
        <f>CEILING(I7/N7,1)</f>
        <v>#DIV/0!</v>
      </c>
      <c r="P7" s="8">
        <f>F7*C7*I7</f>
        <v>0</v>
      </c>
      <c r="Q7" s="8" t="e">
        <f>F7*O7+F8*I8*C8</f>
        <v>#DIV/0!</v>
      </c>
      <c r="R7" s="8" t="e">
        <f>(F1+(Q7+Q4+Q6)*3.14)*I7*C7+D7*E7</f>
        <v>#DIV/0!</v>
      </c>
      <c r="S7" s="8" t="e">
        <f>G7*R7/1000</f>
        <v>#DIV/0!</v>
      </c>
      <c r="T7" s="9" t="e">
        <f>(R7-D7*E7)/C7/C7*H7/1000000</f>
        <v>#DIV/0!</v>
      </c>
      <c r="U7" t="e">
        <f>(R7-D7*E7)/I7/C7*L7+10</f>
        <v>#DIV/0!</v>
      </c>
      <c r="V7" t="e">
        <f>(R7-D7*E7)/I7/C7*M7+10</f>
        <v>#DIV/0!</v>
      </c>
    </row>
    <row r="8" spans="2:23" ht="14.25">
      <c r="B8" s="16" t="s">
        <v>35</v>
      </c>
      <c r="C8" s="16"/>
      <c r="D8" s="13"/>
      <c r="E8" s="13"/>
      <c r="F8" s="16"/>
      <c r="G8" s="13"/>
      <c r="H8" s="13"/>
      <c r="I8" s="16" t="e">
        <f>O7-1</f>
        <v>#DIV/0!</v>
      </c>
      <c r="N8" s="13"/>
      <c r="O8" s="13"/>
      <c r="P8" s="13"/>
      <c r="Q8" s="13"/>
      <c r="R8" s="13"/>
      <c r="S8" s="13"/>
      <c r="T8" s="14"/>
      <c r="W8" s="15" t="e">
        <f>(F1+(Q9+Q7+Q6+Q4)*3.14)*I8*C8+20</f>
        <v>#DIV/0!</v>
      </c>
    </row>
    <row r="9" spans="2:23" s="3" customFormat="1" ht="14.25">
      <c r="B9" s="12" t="s">
        <v>19</v>
      </c>
      <c r="F9" s="12">
        <v>0.055</v>
      </c>
      <c r="I9" s="12"/>
      <c r="O9" s="11"/>
      <c r="Q9" s="12">
        <f>F9*I9</f>
        <v>0</v>
      </c>
      <c r="T9" s="4"/>
      <c r="W9" s="12" t="e">
        <f>(F1+(Q9+Q7+Q6+Q4)*3.14)*I9+20</f>
        <v>#DIV/0!</v>
      </c>
    </row>
    <row r="10" spans="1:22" ht="14.25">
      <c r="A10" s="5"/>
      <c r="B10" s="8"/>
      <c r="C10" s="8">
        <v>1</v>
      </c>
      <c r="D10" s="8">
        <v>50</v>
      </c>
      <c r="E10" s="8">
        <f>C10*2</f>
        <v>2</v>
      </c>
      <c r="F10" s="8"/>
      <c r="G10" s="8"/>
      <c r="H10" s="8"/>
      <c r="I10" s="17"/>
      <c r="N10" s="8" t="e">
        <f>INT((B1-J10-K10)/F10/C10)</f>
        <v>#DIV/0!</v>
      </c>
      <c r="O10" s="8" t="e">
        <f>CEILING(I10/N10,1)</f>
        <v>#DIV/0!</v>
      </c>
      <c r="P10" s="8">
        <f>F10*C10*I10</f>
        <v>0</v>
      </c>
      <c r="Q10" s="8" t="e">
        <f>F10*O10+F11*I11*C11</f>
        <v>#DIV/0!</v>
      </c>
      <c r="R10" s="8" t="e">
        <f>(F1+(Q10+Q4+Q6+Q7+Q9)*3.14)*I10*C10+D10*E10</f>
        <v>#DIV/0!</v>
      </c>
      <c r="S10" s="8" t="e">
        <f>G10*R10/1000</f>
        <v>#DIV/0!</v>
      </c>
      <c r="T10" s="9" t="e">
        <f>(R10-D10*E10)/C10/C10*H10/1000000</f>
        <v>#DIV/0!</v>
      </c>
      <c r="U10" t="e">
        <f>(R10-D10*E10)/I10/C10*L10+10</f>
        <v>#DIV/0!</v>
      </c>
      <c r="V10" t="e">
        <f>(R10-D10*E10)/I10/C10*M10+10</f>
        <v>#DIV/0!</v>
      </c>
    </row>
    <row r="11" spans="2:23" ht="14.25">
      <c r="B11" s="16" t="s">
        <v>35</v>
      </c>
      <c r="C11" s="16"/>
      <c r="D11" s="13"/>
      <c r="E11" s="13"/>
      <c r="F11" s="16"/>
      <c r="G11" s="13"/>
      <c r="H11" s="13"/>
      <c r="I11" s="16" t="e">
        <f>O10-1</f>
        <v>#DIV/0!</v>
      </c>
      <c r="N11" s="13"/>
      <c r="O11" s="13"/>
      <c r="P11" s="13"/>
      <c r="Q11" s="13"/>
      <c r="R11" s="13"/>
      <c r="S11" s="13"/>
      <c r="T11" s="14"/>
      <c r="W11" s="15" t="e">
        <f>(F1+(Q12+Q10+Q9+Q7+Q6+Q4)*3.14)*I11*C11+20</f>
        <v>#DIV/0!</v>
      </c>
    </row>
    <row r="12" spans="2:23" s="3" customFormat="1" ht="13.5" customHeight="1">
      <c r="B12" s="12" t="s">
        <v>19</v>
      </c>
      <c r="F12" s="12">
        <v>0.055</v>
      </c>
      <c r="I12" s="12"/>
      <c r="Q12" s="12">
        <f>F12*I12</f>
        <v>0</v>
      </c>
      <c r="T12" s="4"/>
      <c r="W12" s="12" t="e">
        <f>(F1+(Q12+Q10+Q9+Q7+Q6+Q4)*3.14)*I12+20</f>
        <v>#DIV/0!</v>
      </c>
    </row>
    <row r="13" spans="2:22" ht="14.25">
      <c r="B13" s="8"/>
      <c r="C13" s="8">
        <v>1</v>
      </c>
      <c r="D13" s="8">
        <v>50</v>
      </c>
      <c r="E13" s="8">
        <f>C13*2</f>
        <v>2</v>
      </c>
      <c r="F13" s="8"/>
      <c r="G13" s="8"/>
      <c r="H13" s="8"/>
      <c r="I13" s="17"/>
      <c r="N13" s="8" t="e">
        <f>INT((B1-J13-K13)/F13/C13)</f>
        <v>#DIV/0!</v>
      </c>
      <c r="O13" s="8" t="e">
        <f>CEILING(I13/N13,1)</f>
        <v>#DIV/0!</v>
      </c>
      <c r="P13" s="8">
        <f>F13*C13*I13</f>
        <v>0</v>
      </c>
      <c r="Q13" s="8" t="e">
        <f>F13*O13+F14*I14*C14</f>
        <v>#DIV/0!</v>
      </c>
      <c r="R13" s="8" t="e">
        <f>(F1+(Q13+Q4+Q6+Q7+Q9+Q10+Q12)*3.14)*I13*C13+D13*E13</f>
        <v>#DIV/0!</v>
      </c>
      <c r="S13" s="8" t="e">
        <f>G13*R13/1000</f>
        <v>#DIV/0!</v>
      </c>
      <c r="T13" s="9" t="e">
        <f>(R13-D13*E13)/C13/C13*H13/1000000</f>
        <v>#DIV/0!</v>
      </c>
      <c r="U13" t="e">
        <f>(R13-D13*E13)/I13/C13*L13+10</f>
        <v>#DIV/0!</v>
      </c>
      <c r="V13" t="e">
        <f>(R13-D13*E13)/I13/C13*M13+10</f>
        <v>#DIV/0!</v>
      </c>
    </row>
    <row r="14" spans="2:23" ht="14.25">
      <c r="B14" s="16" t="s">
        <v>35</v>
      </c>
      <c r="C14" s="16"/>
      <c r="D14" s="13"/>
      <c r="E14" s="13"/>
      <c r="F14" s="16"/>
      <c r="G14" s="13"/>
      <c r="H14" s="13"/>
      <c r="I14" s="16" t="e">
        <f>O13-1</f>
        <v>#DIV/0!</v>
      </c>
      <c r="N14" s="13"/>
      <c r="O14" s="13"/>
      <c r="P14" s="13"/>
      <c r="Q14" s="13"/>
      <c r="R14" s="13"/>
      <c r="S14" s="13"/>
      <c r="T14" s="14"/>
      <c r="W14" s="15" t="e">
        <f>(F1+(Q15+Q13+Q12+Q10+Q9+Q7+Q6+Q4)*3.14)*I14*C14+20</f>
        <v>#DIV/0!</v>
      </c>
    </row>
    <row r="15" spans="2:23" s="3" customFormat="1" ht="14.25">
      <c r="B15" s="12" t="s">
        <v>19</v>
      </c>
      <c r="F15" s="12">
        <v>0.055</v>
      </c>
      <c r="I15" s="12"/>
      <c r="Q15" s="12">
        <f>F15*I15</f>
        <v>0</v>
      </c>
      <c r="T15" s="4"/>
      <c r="W15" s="12" t="e">
        <f>(F1+(Q15+Q13+Q12+Q10+Q9+Q7+Q6+Q4)*3.14)*I15+20</f>
        <v>#DIV/0!</v>
      </c>
    </row>
    <row r="16" spans="2:22" ht="14.25">
      <c r="B16" s="8"/>
      <c r="C16" s="8">
        <v>1</v>
      </c>
      <c r="D16" s="8">
        <v>20</v>
      </c>
      <c r="E16" s="8">
        <f>C16*2</f>
        <v>2</v>
      </c>
      <c r="F16" s="17"/>
      <c r="G16" s="17"/>
      <c r="H16" s="17"/>
      <c r="I16" s="17"/>
      <c r="N16" s="8" t="e">
        <f>INT((B1-J16-K16)/F16/C16)</f>
        <v>#DIV/0!</v>
      </c>
      <c r="O16" s="8" t="e">
        <f>CEILING(I16/N16,1)</f>
        <v>#DIV/0!</v>
      </c>
      <c r="P16" s="8">
        <f>F16*C16*I16</f>
        <v>0</v>
      </c>
      <c r="Q16" s="8" t="e">
        <f>F16*O16+F17*I17*C17</f>
        <v>#DIV/0!</v>
      </c>
      <c r="R16" s="8" t="e">
        <f>(F1+(Q16+Q4+Q6+Q7+Q9+Q10+Q12+Q13+Q15)*3.14)*I16*C16+D16*E16</f>
        <v>#DIV/0!</v>
      </c>
      <c r="S16" s="8" t="e">
        <f>G16*R16/1000</f>
        <v>#DIV/0!</v>
      </c>
      <c r="T16" s="9" t="e">
        <f>(R16-D16*E16)/C16/C16*H16/1000000</f>
        <v>#DIV/0!</v>
      </c>
      <c r="U16" t="e">
        <f>(R16-D16*E16)/I16/C16*L16+10</f>
        <v>#DIV/0!</v>
      </c>
      <c r="V16" t="e">
        <f>(R16-D16*E16)/I16/C16*M16+10</f>
        <v>#DIV/0!</v>
      </c>
    </row>
    <row r="17" spans="2:23" ht="14.25">
      <c r="B17" s="16" t="s">
        <v>35</v>
      </c>
      <c r="C17" s="16"/>
      <c r="D17" s="13"/>
      <c r="E17" s="13"/>
      <c r="F17" s="16"/>
      <c r="G17" s="13"/>
      <c r="H17" s="13"/>
      <c r="I17" s="16" t="e">
        <f>O16-1</f>
        <v>#DIV/0!</v>
      </c>
      <c r="N17" s="13"/>
      <c r="O17" s="13"/>
      <c r="P17" s="13"/>
      <c r="Q17" s="13"/>
      <c r="R17" s="13"/>
      <c r="S17" s="13"/>
      <c r="T17" s="14"/>
      <c r="W17" s="15" t="e">
        <f>(F1+(Q18+Q16+Q15+Q13+Q12+Q10+Q9+Q7+Q6+Q4)*3.14)*I17*C17+20</f>
        <v>#DIV/0!</v>
      </c>
    </row>
    <row r="18" spans="2:23" s="3" customFormat="1" ht="14.25">
      <c r="B18" s="12" t="s">
        <v>19</v>
      </c>
      <c r="F18" s="12">
        <v>0.055</v>
      </c>
      <c r="I18" s="12"/>
      <c r="Q18" s="12">
        <f>F18*I18</f>
        <v>0</v>
      </c>
      <c r="T18" s="4"/>
      <c r="W18" s="12" t="e">
        <f>(F1+(Q18+Q16+Q15+Q13+Q12+Q10+Q9+Q7+Q6+Q4)*3.14)*I18+20</f>
        <v>#DIV/0!</v>
      </c>
    </row>
    <row r="19" spans="2:22" ht="14.25">
      <c r="B19" s="8"/>
      <c r="C19" s="8">
        <v>1</v>
      </c>
      <c r="D19" s="8">
        <v>20</v>
      </c>
      <c r="E19" s="8">
        <f>C19*2</f>
        <v>2</v>
      </c>
      <c r="F19" s="8"/>
      <c r="G19" s="8"/>
      <c r="H19" s="8"/>
      <c r="I19" s="8"/>
      <c r="N19" s="8" t="e">
        <f>INT((B1-J19-K19)/F19/C19)</f>
        <v>#DIV/0!</v>
      </c>
      <c r="O19" s="8" t="e">
        <f>CEILING(I19/N19,1)</f>
        <v>#DIV/0!</v>
      </c>
      <c r="P19" s="8">
        <f>F19*C19*I19</f>
        <v>0</v>
      </c>
      <c r="Q19" s="8" t="e">
        <f>F19*O19+F20*I20*C20</f>
        <v>#DIV/0!</v>
      </c>
      <c r="R19" s="8" t="e">
        <f>(F1+(Q19+Q4+Q6+Q7+Q9+Q10+Q12+Q13+Q15+Q16+Q18)*3.14)*I19*C19+D19*E19</f>
        <v>#DIV/0!</v>
      </c>
      <c r="S19" s="8" t="e">
        <f>G19*R19/1000</f>
        <v>#DIV/0!</v>
      </c>
      <c r="T19" s="9" t="e">
        <f>(R19-D19*E19)/C19/C19*H19/1000000</f>
        <v>#DIV/0!</v>
      </c>
      <c r="U19" t="e">
        <f>(R19-D19*E19)/I19/C19*L19+10</f>
        <v>#DIV/0!</v>
      </c>
      <c r="V19" t="e">
        <f>(R19-D19*E19)/I19/C19*M19+10</f>
        <v>#DIV/0!</v>
      </c>
    </row>
    <row r="20" spans="2:23" ht="14.25">
      <c r="B20" s="16" t="s">
        <v>35</v>
      </c>
      <c r="C20" s="16"/>
      <c r="D20" s="13"/>
      <c r="E20" s="13"/>
      <c r="F20" s="16"/>
      <c r="G20" s="13"/>
      <c r="H20" s="13"/>
      <c r="I20" s="16" t="e">
        <f>O19-1</f>
        <v>#DIV/0!</v>
      </c>
      <c r="N20" s="13"/>
      <c r="O20" s="13"/>
      <c r="P20" s="13"/>
      <c r="Q20" s="13"/>
      <c r="R20" s="13"/>
      <c r="S20" s="13"/>
      <c r="T20" s="14"/>
      <c r="W20" s="15" t="e">
        <f>(F1+(Q21+Q19+Q18+Q16+Q15+Q13+Q12+Q10+Q9+Q7+Q6+Q4)*3.14)*I20*C20+20</f>
        <v>#DIV/0!</v>
      </c>
    </row>
    <row r="21" spans="2:23" s="3" customFormat="1" ht="14.25">
      <c r="B21" s="12" t="s">
        <v>19</v>
      </c>
      <c r="F21" s="12">
        <v>0.055</v>
      </c>
      <c r="I21" s="12"/>
      <c r="Q21" s="12">
        <f>F21*I21</f>
        <v>0</v>
      </c>
      <c r="T21" s="4"/>
      <c r="W21" s="12" t="e">
        <f>(F1+(Q21+Q19+Q18+Q16+Q15+Q13+Q12+Q10+Q9+Q7+Q6+Q4)*3.14)*I21+20</f>
        <v>#DIV/0!</v>
      </c>
    </row>
    <row r="22" spans="2:22" ht="14.25">
      <c r="B22" s="8"/>
      <c r="C22" s="8">
        <v>1</v>
      </c>
      <c r="D22" s="8">
        <v>20</v>
      </c>
      <c r="E22" s="8">
        <f>C22*2</f>
        <v>2</v>
      </c>
      <c r="F22" s="8"/>
      <c r="G22" s="8"/>
      <c r="H22" s="8"/>
      <c r="I22" s="8"/>
      <c r="N22" s="8" t="e">
        <f>INT((B1-J22-K22)/F22/C22)</f>
        <v>#DIV/0!</v>
      </c>
      <c r="O22" s="8" t="e">
        <f>CEILING(I22/N22,1)</f>
        <v>#DIV/0!</v>
      </c>
      <c r="P22" s="8">
        <f>F22*C22*I22</f>
        <v>0</v>
      </c>
      <c r="Q22" s="8" t="e">
        <f>F22*O22+F23*I23*C23</f>
        <v>#DIV/0!</v>
      </c>
      <c r="R22" s="8" t="e">
        <f>(F1+(Q22+Q4+Q6+Q7+Q9+Q10+Q12+Q13+Q15+Q16+Q18+Q19+Q21)*3.14)*I22*C22+D22*E22</f>
        <v>#DIV/0!</v>
      </c>
      <c r="S22" s="8" t="e">
        <f>G22*R22/1000</f>
        <v>#DIV/0!</v>
      </c>
      <c r="T22" s="9" t="e">
        <f>(R22-D22*E22)/C22/C22*H22/1000000</f>
        <v>#DIV/0!</v>
      </c>
      <c r="U22" t="e">
        <f>(R22-D22*E22)/I22/C22*L22+10</f>
        <v>#DIV/0!</v>
      </c>
      <c r="V22" t="e">
        <f>(R22-D22*E22)/I22/C22*M22+10</f>
        <v>#DIV/0!</v>
      </c>
    </row>
    <row r="23" spans="2:23" ht="14.25">
      <c r="B23" s="16" t="s">
        <v>35</v>
      </c>
      <c r="C23" s="16"/>
      <c r="D23" s="13"/>
      <c r="E23" s="13"/>
      <c r="F23" s="16"/>
      <c r="G23" s="13"/>
      <c r="H23" s="13"/>
      <c r="I23" s="16" t="e">
        <f>O22-1</f>
        <v>#DIV/0!</v>
      </c>
      <c r="N23" s="13"/>
      <c r="O23" s="13"/>
      <c r="P23" s="13"/>
      <c r="Q23" s="13"/>
      <c r="R23" s="13"/>
      <c r="S23" s="13"/>
      <c r="T23" s="14"/>
      <c r="W23" s="15" t="e">
        <f>(F1+(Q24+Q22+Q21+Q19+Q18+Q16+Q15+Q13+Q12+Q10+Q9+Q7+Q6+Q4)*3.14)*I23*C23+20</f>
        <v>#DIV/0!</v>
      </c>
    </row>
    <row r="24" spans="2:23" s="3" customFormat="1" ht="14.25">
      <c r="B24" s="12" t="s">
        <v>19</v>
      </c>
      <c r="F24" s="12">
        <v>0.055</v>
      </c>
      <c r="I24" s="12"/>
      <c r="Q24" s="12">
        <f>F24*I24</f>
        <v>0</v>
      </c>
      <c r="T24" s="4"/>
      <c r="W24" s="12" t="e">
        <f>(F1+(Q24+Q22+Q21+Q19+Q18+Q16+Q15+Q13+Q12+Q10+Q9+Q7+Q6+Q4)*3.14)*I24+20</f>
        <v>#DIV/0!</v>
      </c>
    </row>
    <row r="25" spans="2:22" ht="14.25">
      <c r="B25" s="8"/>
      <c r="C25" s="8">
        <v>1</v>
      </c>
      <c r="D25" s="8">
        <v>20</v>
      </c>
      <c r="E25" s="8">
        <f>C25*2</f>
        <v>2</v>
      </c>
      <c r="F25" s="8"/>
      <c r="G25" s="8"/>
      <c r="H25" s="8"/>
      <c r="I25" s="8"/>
      <c r="N25" s="8" t="e">
        <f>INT((B1-J25-K25)/F25/C25)</f>
        <v>#DIV/0!</v>
      </c>
      <c r="O25" s="8" t="e">
        <f>CEILING(I25/N25,1)</f>
        <v>#DIV/0!</v>
      </c>
      <c r="P25" s="8">
        <f>F25*C25*I25</f>
        <v>0</v>
      </c>
      <c r="Q25" s="8" t="e">
        <f>F25*O25+F26*I26*C26</f>
        <v>#DIV/0!</v>
      </c>
      <c r="R25" s="8" t="e">
        <f>(F1+(Q25+Q4+Q6+Q7+Q9+Q10+Q12+Q13+Q15+Q16+Q18+Q19+Q21+Q22+Q24)*3.14)*I25*C25+D25*E25</f>
        <v>#DIV/0!</v>
      </c>
      <c r="S25" s="8" t="e">
        <f>G25*R25/1000</f>
        <v>#DIV/0!</v>
      </c>
      <c r="T25" s="9" t="e">
        <f>(R25-D25*E25)/C25/C25*H25/1000000</f>
        <v>#DIV/0!</v>
      </c>
      <c r="U25" t="e">
        <f>(R25-D25*E25)/I25/C25*L25+10</f>
        <v>#DIV/0!</v>
      </c>
      <c r="V25" t="e">
        <f>(R25-D25*E25)/I25/C25*M25+10</f>
        <v>#DIV/0!</v>
      </c>
    </row>
    <row r="26" spans="2:23" ht="14.25">
      <c r="B26" s="16" t="s">
        <v>35</v>
      </c>
      <c r="C26" s="16"/>
      <c r="D26" s="13"/>
      <c r="E26" s="13"/>
      <c r="F26" s="16"/>
      <c r="G26" s="13"/>
      <c r="H26" s="13"/>
      <c r="I26" s="16" t="e">
        <f>O25-1</f>
        <v>#DIV/0!</v>
      </c>
      <c r="N26" s="13"/>
      <c r="O26" s="13"/>
      <c r="P26" s="13"/>
      <c r="Q26" s="13"/>
      <c r="R26" s="13"/>
      <c r="S26" s="13"/>
      <c r="T26" s="14"/>
      <c r="W26" s="15" t="e">
        <f>(F1+(Q27+Q25+Q24+Q22+Q21+Q19+Q18+Q16+Q15+Q13+Q12+Q10+Q9+Q7+Q6+Q4)*3.14)*I26*C26+20</f>
        <v>#DIV/0!</v>
      </c>
    </row>
    <row r="27" spans="2:23" s="3" customFormat="1" ht="14.25">
      <c r="B27" s="12" t="s">
        <v>19</v>
      </c>
      <c r="F27" s="12">
        <v>0.055</v>
      </c>
      <c r="I27" s="12"/>
      <c r="Q27" s="12">
        <f>F27*I27</f>
        <v>0</v>
      </c>
      <c r="T27" s="4"/>
      <c r="W27" s="12" t="e">
        <f>(F1+(Q27+Q25+Q24+Q22+Q21+Q19+Q18+Q16+Q15+Q13+Q12+Q10+Q9+Q7+Q6+Q4)*3.14)*I27+20</f>
        <v>#DIV/0!</v>
      </c>
    </row>
    <row r="28" spans="2:22" ht="14.25">
      <c r="B28" s="8"/>
      <c r="C28" s="8">
        <v>1</v>
      </c>
      <c r="D28" s="8">
        <v>20</v>
      </c>
      <c r="E28" s="8">
        <f>C28*2</f>
        <v>2</v>
      </c>
      <c r="F28" s="8"/>
      <c r="G28" s="8"/>
      <c r="H28" s="8"/>
      <c r="I28" s="8"/>
      <c r="N28" s="8" t="e">
        <f>INT((B1-J28-K28)/F28/C28)</f>
        <v>#DIV/0!</v>
      </c>
      <c r="O28" s="8" t="e">
        <f>CEILING(I28/N28,1)</f>
        <v>#DIV/0!</v>
      </c>
      <c r="P28" s="8">
        <f>F28*C28*I28</f>
        <v>0</v>
      </c>
      <c r="Q28" s="8" t="e">
        <f>F28*O28+F29*I29*C29</f>
        <v>#DIV/0!</v>
      </c>
      <c r="R28" s="8" t="e">
        <f>(F1+(Q28+Q4+Q6+Q7+Q9+Q10+Q12+Q13+Q15+Q16+Q18+Q19+Q21+Q22+Q24+Q25+Q27)*3.14)*I28*C28+D28*E28</f>
        <v>#DIV/0!</v>
      </c>
      <c r="S28" s="8" t="e">
        <f>G28*R28/1000</f>
        <v>#DIV/0!</v>
      </c>
      <c r="T28" s="9" t="e">
        <f>(R28-D28*E28)/C28/C28*H28/1000000</f>
        <v>#DIV/0!</v>
      </c>
      <c r="U28" t="e">
        <f>(R28-D28*E28)/I28/C28*L28+10</f>
        <v>#DIV/0!</v>
      </c>
      <c r="V28" t="e">
        <f>(R28-D28*E28)/I28/C28*M28+10</f>
        <v>#DIV/0!</v>
      </c>
    </row>
    <row r="29" spans="2:23" ht="14.25">
      <c r="B29" s="16" t="s">
        <v>35</v>
      </c>
      <c r="C29" s="16"/>
      <c r="D29" s="13"/>
      <c r="E29" s="13"/>
      <c r="F29" s="16"/>
      <c r="G29" s="13"/>
      <c r="H29" s="13"/>
      <c r="I29" s="16" t="e">
        <f>O28-1</f>
        <v>#DIV/0!</v>
      </c>
      <c r="N29" s="13"/>
      <c r="O29" s="13"/>
      <c r="P29" s="13"/>
      <c r="Q29" s="13"/>
      <c r="R29" s="13"/>
      <c r="S29" s="13"/>
      <c r="T29" s="14"/>
      <c r="W29" s="15" t="e">
        <f>(F1+(Q30+Q28+Q27+Q25+Q24+Q22+Q21+Q19+Q18+Q16+Q15+Q13+Q12+Q10+Q9+Q7+Q6+Q4)*3.14)*I29*C29+20</f>
        <v>#DIV/0!</v>
      </c>
    </row>
    <row r="30" spans="2:23" s="3" customFormat="1" ht="14.25">
      <c r="B30" s="12" t="s">
        <v>19</v>
      </c>
      <c r="F30" s="12">
        <v>0.055</v>
      </c>
      <c r="I30" s="12"/>
      <c r="Q30" s="12">
        <f>F30*I30</f>
        <v>0</v>
      </c>
      <c r="T30" s="4"/>
      <c r="W30" s="12" t="e">
        <f>(F1+(Q30+Q28+Q27+Q25+Q24+Q22+Q21+Q19+Q18+Q16+Q15+Q13+Q12+Q10+Q9+Q7+Q6+Q4)*3.14)*I30+20</f>
        <v>#DIV/0!</v>
      </c>
    </row>
    <row r="31" spans="2:22" ht="14.25">
      <c r="B31" s="8"/>
      <c r="C31" s="8">
        <v>1</v>
      </c>
      <c r="D31" s="8">
        <v>20</v>
      </c>
      <c r="E31" s="8">
        <f>C31*2</f>
        <v>2</v>
      </c>
      <c r="F31" s="8"/>
      <c r="G31" s="8"/>
      <c r="H31" s="8"/>
      <c r="I31" s="8"/>
      <c r="N31" s="8" t="e">
        <f>INT((B1-J31-K31)/F31/C31)</f>
        <v>#DIV/0!</v>
      </c>
      <c r="O31" s="8" t="e">
        <f>CEILING(I31/N31,1)</f>
        <v>#DIV/0!</v>
      </c>
      <c r="P31" s="8">
        <f>F31*C31*I31</f>
        <v>0</v>
      </c>
      <c r="Q31" s="8" t="e">
        <f>F31*O31+F32*I32*C32</f>
        <v>#DIV/0!</v>
      </c>
      <c r="R31" s="8" t="e">
        <f>(F1+(Q31+Q4+Q6+Q7+Q9+Q10+Q12+Q13+Q15+Q16+Q18+Q19+Q21+Q22+Q24+Q25+Q27+Q28+Q30)*3.14)*I31*C31+D31*E31</f>
        <v>#DIV/0!</v>
      </c>
      <c r="S31" s="8" t="e">
        <f>G31*R31/1000</f>
        <v>#DIV/0!</v>
      </c>
      <c r="T31" s="9" t="e">
        <f>(R31-D31*E31)/C31/C31*H31/1000000</f>
        <v>#DIV/0!</v>
      </c>
      <c r="U31" t="e">
        <f>(R31-D31*E31)/I31/C31*L31+10</f>
        <v>#DIV/0!</v>
      </c>
      <c r="V31" t="e">
        <f>(R31-D31*E31)/I31/C31*M31+10</f>
        <v>#DIV/0!</v>
      </c>
    </row>
    <row r="32" spans="2:23" ht="14.25">
      <c r="B32" s="16" t="s">
        <v>35</v>
      </c>
      <c r="C32" s="16"/>
      <c r="D32" s="13"/>
      <c r="E32" s="13"/>
      <c r="F32" s="16"/>
      <c r="G32" s="13"/>
      <c r="H32" s="13"/>
      <c r="I32" s="16" t="e">
        <f>O31-1</f>
        <v>#DIV/0!</v>
      </c>
      <c r="N32" s="13"/>
      <c r="O32" s="13"/>
      <c r="P32" s="13"/>
      <c r="Q32" s="13"/>
      <c r="R32" s="13"/>
      <c r="S32" s="13"/>
      <c r="T32" s="14"/>
      <c r="W32" s="15" t="e">
        <f>(F1+(Q33+Q31+Q30+Q28+Q27+Q25+Q24+Q22+Q21+Q19+Q18+Q16+Q15+Q13+Q12+Q10+Q9+Q7+Q6+Q4)*3.14)*I32*C32+20</f>
        <v>#DIV/0!</v>
      </c>
    </row>
    <row r="33" spans="2:23" s="3" customFormat="1" ht="14.25">
      <c r="B33" s="12" t="s">
        <v>19</v>
      </c>
      <c r="F33" s="12">
        <v>0.055</v>
      </c>
      <c r="I33" s="12"/>
      <c r="Q33" s="12">
        <f>F33*I33</f>
        <v>0</v>
      </c>
      <c r="T33" s="4"/>
      <c r="W33" s="12" t="e">
        <f>(F1+(Q33+Q31+Q30+Q28+Q27+Q25+Q24+Q22+Q21+Q19+Q18+Q16+Q15+Q13+Q12+Q10+Q9+Q7+Q6+Q4)*3.14)*I33+20</f>
        <v>#DIV/0!</v>
      </c>
    </row>
    <row r="35" spans="16:19" ht="28.5">
      <c r="P35" s="10" t="s">
        <v>27</v>
      </c>
      <c r="Q35" s="8" t="e">
        <f>SUM(Q4:Q33)</f>
        <v>#DIV/0!</v>
      </c>
      <c r="R35" s="10" t="s">
        <v>26</v>
      </c>
      <c r="S35" s="8" t="e">
        <f>D1-Q35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Dongbo Li</dc:creator>
  <cp:keywords/>
  <dc:description/>
  <cp:lastModifiedBy>微软用户</cp:lastModifiedBy>
  <dcterms:created xsi:type="dcterms:W3CDTF">2006-05-13T02:56:21Z</dcterms:created>
  <dcterms:modified xsi:type="dcterms:W3CDTF">2008-01-10T08:53:18Z</dcterms:modified>
  <cp:category/>
  <cp:version/>
  <cp:contentType/>
  <cp:contentStatus/>
</cp:coreProperties>
</file>