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6645" windowHeight="5880" tabRatio="895" activeTab="0"/>
  </bookViews>
  <sheets>
    <sheet name="Start" sheetId="1" r:id="rId1"/>
    <sheet name="Step1" sheetId="2" r:id="rId2"/>
    <sheet name="Step2" sheetId="3" r:id="rId3"/>
    <sheet name="Step3" sheetId="4" r:id="rId4"/>
    <sheet name="Step4" sheetId="5" r:id="rId5"/>
    <sheet name="Step5" sheetId="6" r:id="rId6"/>
    <sheet name="Step6" sheetId="7" r:id="rId7"/>
    <sheet name="Step7" sheetId="8" r:id="rId8"/>
    <sheet name="Step8" sheetId="9" r:id="rId9"/>
    <sheet name="Step9" sheetId="10" r:id="rId10"/>
    <sheet name="BOM" sheetId="11" r:id="rId11"/>
    <sheet name="Data2" sheetId="12" state="hidden" r:id="rId12"/>
    <sheet name="Data3" sheetId="13" state="hidden" r:id="rId13"/>
    <sheet name="Data4" sheetId="14" state="hidden" r:id="rId14"/>
    <sheet name="FreqCalculations" sheetId="15" state="hidden" r:id="rId15"/>
    <sheet name="Rev History" sheetId="16" state="hidden" r:id="rId16"/>
  </sheets>
  <externalReferences>
    <externalReference r:id="rId19"/>
  </externalReferences>
  <definedNames>
    <definedName name="a">#REF!</definedName>
    <definedName name="as">#REF!</definedName>
    <definedName name="asss">#REF!</definedName>
    <definedName name="Beg_Bal">#REF!</definedName>
    <definedName name="Cclamp">'Step5'!$C$6</definedName>
    <definedName name="Cdrain">'Data2'!$B$103</definedName>
    <definedName name="Cff">'Step6'!$J$23</definedName>
    <definedName name="Cout">'Step4'!$C$7</definedName>
    <definedName name="Data">#REF!</definedName>
    <definedName name="DC">'Step1'!$B$12</definedName>
    <definedName name="DCmax">'Step1'!$B$23</definedName>
    <definedName name="DCmin">'Step1'!$B$22</definedName>
    <definedName name="eff">'Step1'!#REF!</definedName>
    <definedName name="End_Bal">#REF!</definedName>
    <definedName name="Extra_Pay">#REF!</definedName>
    <definedName name="f">'Step1'!$B$11</definedName>
    <definedName name="freq">'Step1'!$B$11</definedName>
    <definedName name="Full_Print">#REF!</definedName>
    <definedName name="Header_Row">ROW(#REF!)</definedName>
    <definedName name="Iave">'Step1'!$B$18</definedName>
    <definedName name="Icskipc">'Data3'!$B$89</definedName>
    <definedName name="Icskipd">'Data3'!$B$90</definedName>
    <definedName name="Im">'Step5'!#REF!</definedName>
    <definedName name="Imaghl">'Data2'!$K$35</definedName>
    <definedName name="Imagll">'Data2'!$K$34</definedName>
    <definedName name="Int">#REF!</definedName>
    <definedName name="Interest_Rate">#REF!</definedName>
    <definedName name="Ioffsetmax">#REF!</definedName>
    <definedName name="Ioffsetuvov">'Data3'!$B$11</definedName>
    <definedName name="Ioffsetuvovmax">'Data3'!$B$12</definedName>
    <definedName name="Ioffsetuvovmin">'Data3'!$B$10</definedName>
    <definedName name="Iout1">'Step1'!$B$10</definedName>
    <definedName name="Iout1min">'Data2'!$B$104</definedName>
    <definedName name="Iout2">'Step1'!#REF!</definedName>
    <definedName name="Iout3">'Step1'!#REF!</definedName>
    <definedName name="Iripmax">'Step2'!$C$7</definedName>
    <definedName name="Iripmin">'Step2'!$C$8</definedName>
    <definedName name="Issc">'Data3'!$B$91</definedName>
    <definedName name="Issd">'Data3'!$B$92</definedName>
    <definedName name="l">'Step1'!#REF!</definedName>
    <definedName name="Last_Row" localSheetId="7">IF('Step7'!Values_Entered,Header_Row+'Step7'!Number_of_Payments,Header_Row)</definedName>
    <definedName name="Last_Row">IF(Values_Entered,Header_Row+Number_of_Payments,Header_Row)</definedName>
    <definedName name="Llk">'Step5'!$C$10</definedName>
    <definedName name="Lm">'Step5'!#REF!</definedName>
    <definedName name="Lmag">'Step2'!$J$4</definedName>
    <definedName name="Loan_Amount">#REF!</definedName>
    <definedName name="Loan_Start">#REF!</definedName>
    <definedName name="Loan_Years">#REF!</definedName>
    <definedName name="Lout">'Step2'!$C$6</definedName>
    <definedName name="Lpri">'Step2'!#REF!</definedName>
    <definedName name="NpNs1">'Step1'!$B$21</definedName>
    <definedName name="NpNs2">'Step2'!#REF!</definedName>
    <definedName name="Ns">'Step8'!$E$4</definedName>
    <definedName name="Num_Pmt_Per_Year">#REF!</definedName>
    <definedName name="Number_of_Payments" localSheetId="7">MATCH(0.01,End_Bal,-1)+1</definedName>
    <definedName name="Number_of_Payments">MATCH(0.01,End_Bal,-1)+1</definedName>
    <definedName name="Pay_Date">#REF!</definedName>
    <definedName name="Pay_Num">#REF!</definedName>
    <definedName name="Payment_Date" localSheetId="7">DATE(YEAR(Loan_Start),MONTH(Loan_Start)+Payment_Number,DAY(Loan_Start))</definedName>
    <definedName name="Payment_Date">DATE(YEAR(Loan_Start),MONTH(Loan_Start)+Payment_Number,DAY(Loan_Start))</definedName>
    <definedName name="phi">'Data2'!#REF!</definedName>
    <definedName name="phihl">'Data2'!$B$119</definedName>
    <definedName name="phill">'Data2'!$B$118</definedName>
    <definedName name="Princ">#REF!</definedName>
    <definedName name="_xlnm.Print_Area" localSheetId="10">'BOM'!$A$1:$F$97</definedName>
    <definedName name="_xlnm.Print_Area" localSheetId="0">'Start'!$A$1:$I$35</definedName>
    <definedName name="_xlnm.Print_Area" localSheetId="2">'Step2'!$A$1:$M$31</definedName>
    <definedName name="Print_Area_Reset" localSheetId="7">OFFSET(Full_Print,0,0,'Step7'!Last_Row)</definedName>
    <definedName name="Print_Area_Reset">OFFSET(Full_Print,0,0,Last_Row)</definedName>
    <definedName name="Qgate">#REF!</definedName>
    <definedName name="Qgate1">'Step4'!$B$20</definedName>
    <definedName name="Qgate2">'Step4'!#REF!</definedName>
    <definedName name="Qrr1">'Step4'!$B$21</definedName>
    <definedName name="Qrr2">'Step4'!#REF!</definedName>
    <definedName name="rdson1">'Step4'!$B$19</definedName>
    <definedName name="rdson2">'Step4'!#REF!</definedName>
    <definedName name="rectrdson">'Step1'!$B$15</definedName>
    <definedName name="res1">#REF!</definedName>
    <definedName name="res2">#REF!</definedName>
    <definedName name="res3">'[1]Sheet1'!$D$4</definedName>
    <definedName name="res4">'[1]Sheet1'!$E$4</definedName>
    <definedName name="Rff">'Step6'!$J$19</definedName>
    <definedName name="Rgate">#REF!</definedName>
    <definedName name="Rgs">#REF!</definedName>
    <definedName name="ripple">#REF!</definedName>
    <definedName name="Ruvov1" localSheetId="7">'Step7'!#REF!</definedName>
    <definedName name="Ruvov1">'Step6'!$I$7</definedName>
    <definedName name="Ruvov2" localSheetId="7">'Step7'!#REF!</definedName>
    <definedName name="Ruvov2">'Step6'!$I$8</definedName>
    <definedName name="s">#REF!</definedName>
    <definedName name="Sched_Pay">#REF!</definedName>
    <definedName name="Scheduled_Extra_Payments">#REF!</definedName>
    <definedName name="Scheduled_Interest_Rate">#REF!</definedName>
    <definedName name="Scheduled_Monthly_Payment">#REF!</definedName>
    <definedName name="ss">#REF!</definedName>
    <definedName name="switchrdson">'Step1'!$B$14</definedName>
    <definedName name="td">'Step4'!$B$23</definedName>
    <definedName name="Total_Interest">#REF!</definedName>
    <definedName name="Total_Pay">#REF!</definedName>
    <definedName name="Total_Payment" localSheetId="7">Scheduled_Payment+Extra_Payment</definedName>
    <definedName name="Total_Payment">Scheduled_Payment+Extra_Payment</definedName>
    <definedName name="tripple">#REF!</definedName>
    <definedName name="Values_Entered" localSheetId="7">IF(Loan_Amount*Interest_Rate*Loan_Years*Loan_Start&gt;0,1,0)</definedName>
    <definedName name="Values_Entered">IF(Loan_Amount*Interest_Rate*Loan_Years*Loan_Start&gt;0,1,0)</definedName>
    <definedName name="Vaux">#REF!</definedName>
    <definedName name="Vbd">'Step4'!$B$22</definedName>
    <definedName name="Vcl">'Data2'!#REF!</definedName>
    <definedName name="Vcl1">'Data2'!$B$86</definedName>
    <definedName name="Vcl2">'Data2'!$B$87</definedName>
    <definedName name="Vclamphl">'Data2'!#REF!</definedName>
    <definedName name="Vclhl">'Data2'!$B$109</definedName>
    <definedName name="Vcll">'Data2'!$B$108</definedName>
    <definedName name="Vin">'[1]Sheet1'!$A$4</definedName>
    <definedName name="Vinmax">'Step1'!$B$7</definedName>
    <definedName name="Vinmin">'Step1'!$B$8</definedName>
    <definedName name="Vinov">#REF!</definedName>
    <definedName name="Vinuv">#REF!</definedName>
    <definedName name="Vout1">'Step1'!$B$9</definedName>
    <definedName name="Vout2">'Step1'!#REF!</definedName>
    <definedName name="Vout3">'Step1'!#REF!</definedName>
    <definedName name="Vov">'Data3'!$B$8</definedName>
    <definedName name="Vovh">'Data3'!$E$8</definedName>
    <definedName name="Vovhmax">'Data3'!$F$8</definedName>
    <definedName name="Vovhmin">'Data3'!$D$8</definedName>
    <definedName name="Vovmax">'Data3'!$C$8</definedName>
    <definedName name="Vovmin">'Data3'!$A$8</definedName>
    <definedName name="Vuv">'Data3'!$B$5</definedName>
    <definedName name="Vuvh">'Data3'!$E$5</definedName>
    <definedName name="Vuvhmax">'Data3'!$F$5</definedName>
    <definedName name="Vuvhmin">'Data3'!$D$5</definedName>
    <definedName name="Vuvmax">'Data3'!$C$5</definedName>
    <definedName name="Vuvmin">'Data3'!$A$5</definedName>
    <definedName name="w">'Data2'!$B$116</definedName>
    <definedName name="wrad">'Data2'!#REF!</definedName>
    <definedName name="Zc">'Data2'!$B$115</definedName>
  </definedNames>
  <calcPr fullCalcOnLoad="1"/>
</workbook>
</file>

<file path=xl/comments1.xml><?xml version="1.0" encoding="utf-8"?>
<comments xmlns="http://schemas.openxmlformats.org/spreadsheetml/2006/main">
  <authors>
    <author>ON Semiconductor</author>
  </authors>
  <commentList>
    <comment ref="D10" authorId="0">
      <text>
        <r>
          <rPr>
            <b/>
            <sz val="8"/>
            <rFont val="Tahoma"/>
            <family val="0"/>
          </rPr>
          <t>ON Semiconductor:</t>
        </r>
        <r>
          <rPr>
            <sz val="8"/>
            <rFont val="Tahoma"/>
            <family val="0"/>
          </rPr>
          <t xml:space="preserve">
</t>
        </r>
      </text>
    </comment>
  </commentList>
</comments>
</file>

<file path=xl/comments10.xml><?xml version="1.0" encoding="utf-8"?>
<comments xmlns="http://schemas.openxmlformats.org/spreadsheetml/2006/main">
  <authors>
    <author>ON Semiconductor</author>
  </authors>
  <commentList>
    <comment ref="A25" authorId="0">
      <text>
        <r>
          <rPr>
            <b/>
            <sz val="8"/>
            <rFont val="Tahoma"/>
            <family val="0"/>
          </rPr>
          <t>ON Semiconductor:</t>
        </r>
        <r>
          <rPr>
            <sz val="8"/>
            <rFont val="Tahoma"/>
            <family val="0"/>
          </rPr>
          <t xml:space="preserve">
Crossover Frequency.
If Value reads "Adj. Range", change min or max plotting frequencies.</t>
        </r>
      </text>
    </comment>
    <comment ref="A26" authorId="0">
      <text>
        <r>
          <rPr>
            <b/>
            <sz val="8"/>
            <rFont val="Tahoma"/>
            <family val="0"/>
          </rPr>
          <t>ON Semiconductor:</t>
        </r>
        <r>
          <rPr>
            <sz val="8"/>
            <rFont val="Tahoma"/>
            <family val="0"/>
          </rPr>
          <t xml:space="preserve">
Phase Margin. Should be greater than 45 degrees.
If Value reads "Adj. Range", change min or max plotting frequencies.</t>
        </r>
      </text>
    </comment>
    <comment ref="E4" authorId="0">
      <text>
        <r>
          <rPr>
            <b/>
            <sz val="8"/>
            <rFont val="Tahoma"/>
            <family val="0"/>
          </rPr>
          <t>ON Semiconductor:</t>
        </r>
        <r>
          <rPr>
            <sz val="8"/>
            <rFont val="Tahoma"/>
            <family val="0"/>
          </rPr>
          <t xml:space="preserve">
Pole frequency set by LC filter.</t>
        </r>
      </text>
    </comment>
    <comment ref="E5" authorId="0">
      <text>
        <r>
          <rPr>
            <b/>
            <sz val="8"/>
            <rFont val="Tahoma"/>
            <family val="0"/>
          </rPr>
          <t>ON Semiconductor:</t>
        </r>
        <r>
          <rPr>
            <sz val="8"/>
            <rFont val="Tahoma"/>
            <family val="0"/>
          </rPr>
          <t xml:space="preserve">
Zero frequency set by ESR of output capacitors.</t>
        </r>
      </text>
    </comment>
    <comment ref="E8" authorId="0">
      <text>
        <r>
          <rPr>
            <b/>
            <sz val="8"/>
            <rFont val="Tahoma"/>
            <family val="0"/>
          </rPr>
          <t>ON Semiconductor:</t>
        </r>
        <r>
          <rPr>
            <sz val="8"/>
            <rFont val="Tahoma"/>
            <family val="0"/>
          </rPr>
          <t xml:space="preserve">
RHP zero introduced by active clamp stage at low line. 
RHP zero  is not plotted in the graphs below. It is recommended to place it at least a decade above the crossover frequency.
It should be significantly greater than the crossover frequency.</t>
        </r>
      </text>
    </comment>
    <comment ref="A4" authorId="0">
      <text>
        <r>
          <rPr>
            <b/>
            <sz val="8"/>
            <rFont val="Tahoma"/>
            <family val="0"/>
          </rPr>
          <t>ON Semiconductor:</t>
        </r>
        <r>
          <rPr>
            <sz val="8"/>
            <rFont val="Tahoma"/>
            <family val="0"/>
          </rPr>
          <t xml:space="preserve">
Pull up resistance on VEA pin.</t>
        </r>
      </text>
    </comment>
    <comment ref="A9" authorId="0">
      <text>
        <r>
          <rPr>
            <b/>
            <sz val="8"/>
            <rFont val="Tahoma"/>
            <family val="0"/>
          </rPr>
          <t>ON Semiconductor:</t>
        </r>
        <r>
          <rPr>
            <sz val="8"/>
            <rFont val="Tahoma"/>
            <family val="0"/>
          </rPr>
          <t xml:space="preserve">
Optocoupler current limiting resistor.</t>
        </r>
      </text>
    </comment>
    <comment ref="E9" authorId="0">
      <text>
        <r>
          <rPr>
            <b/>
            <sz val="8"/>
            <rFont val="Tahoma"/>
            <family val="0"/>
          </rPr>
          <t>ON Semiconductor:</t>
        </r>
        <r>
          <rPr>
            <sz val="8"/>
            <rFont val="Tahoma"/>
            <family val="0"/>
          </rPr>
          <t xml:space="preserve">
RHP zero introduced by active clamp stage at high line. 
RHP zero  is not plotted in the graphs below. It is recommended to place it at least a decade above the crossover frequency.
It should be significantly greater than the crossover frequency.</t>
        </r>
      </text>
    </comment>
    <comment ref="E7" authorId="0">
      <text>
        <r>
          <rPr>
            <b/>
            <sz val="8"/>
            <rFont val="Tahoma"/>
            <family val="0"/>
          </rPr>
          <t>ON Semiconductor:</t>
        </r>
        <r>
          <rPr>
            <sz val="8"/>
            <rFont val="Tahoma"/>
            <family val="0"/>
          </rPr>
          <t xml:space="preserve">
Gopto = CTR*Rea/Ropto</t>
        </r>
      </text>
    </comment>
    <comment ref="E6" authorId="0">
      <text>
        <r>
          <rPr>
            <b/>
            <sz val="8"/>
            <rFont val="Tahoma"/>
            <family val="0"/>
          </rPr>
          <t>ON Semiconductor:</t>
        </r>
        <r>
          <rPr>
            <sz val="8"/>
            <rFont val="Tahoma"/>
            <family val="0"/>
          </rPr>
          <t xml:space="preserve">
Gopto=CTR*Rea/Ropto</t>
        </r>
      </text>
    </comment>
  </commentList>
</comments>
</file>

<file path=xl/comments12.xml><?xml version="1.0" encoding="utf-8"?>
<comments xmlns="http://schemas.openxmlformats.org/spreadsheetml/2006/main">
  <authors>
    <author>ON Semiconductor</author>
  </authors>
  <commentList>
    <comment ref="J3" authorId="0">
      <text>
        <r>
          <rPr>
            <b/>
            <sz val="8"/>
            <rFont val="Tahoma"/>
            <family val="0"/>
          </rPr>
          <t>ON Semiconductor:</t>
        </r>
        <r>
          <rPr>
            <sz val="8"/>
            <rFont val="Tahoma"/>
            <family val="0"/>
          </rPr>
          <t xml:space="preserve">
Np/Ns1 = Vin*DC/(Vout + Iout*Rdson(rect))</t>
        </r>
      </text>
    </comment>
    <comment ref="A86" authorId="0">
      <text>
        <r>
          <rPr>
            <b/>
            <sz val="11"/>
            <rFont val="Tahoma"/>
            <family val="2"/>
          </rPr>
          <t>ON Semiconductor:</t>
        </r>
        <r>
          <rPr>
            <sz val="11"/>
            <rFont val="Tahoma"/>
            <family val="2"/>
          </rPr>
          <t xml:space="preserve">
Clamp Voltage at min input voltage and max duty cycle</t>
        </r>
      </text>
    </comment>
    <comment ref="A87" authorId="0">
      <text>
        <r>
          <rPr>
            <b/>
            <sz val="11"/>
            <rFont val="Tahoma"/>
            <family val="2"/>
          </rPr>
          <t>ON Semiconductor:</t>
        </r>
        <r>
          <rPr>
            <sz val="11"/>
            <rFont val="Tahoma"/>
            <family val="2"/>
          </rPr>
          <t xml:space="preserve">
Clamp Voltage at max input voltage and min duty cycle
</t>
        </r>
      </text>
    </comment>
    <comment ref="A117" authorId="0">
      <text>
        <r>
          <rPr>
            <b/>
            <sz val="8"/>
            <rFont val="Tahoma"/>
            <family val="0"/>
          </rPr>
          <t>ON Semiconductor:</t>
        </r>
        <r>
          <rPr>
            <sz val="8"/>
            <rFont val="Tahoma"/>
            <family val="0"/>
          </rPr>
          <t xml:space="preserve">
at low Line</t>
        </r>
      </text>
    </comment>
  </commentList>
</comments>
</file>

<file path=xl/comments13.xml><?xml version="1.0" encoding="utf-8"?>
<comments xmlns="http://schemas.openxmlformats.org/spreadsheetml/2006/main">
  <authors>
    <author>ON Semiconductor</author>
  </authors>
  <commentList>
    <comment ref="E10" authorId="0">
      <text>
        <r>
          <rPr>
            <b/>
            <sz val="8"/>
            <rFont val="Tahoma"/>
            <family val="0"/>
          </rPr>
          <t>ON Semiconductor:</t>
        </r>
        <r>
          <rPr>
            <sz val="8"/>
            <rFont val="Tahoma"/>
            <family val="0"/>
          </rPr>
          <t xml:space="preserve">
Value inserted by Macro</t>
        </r>
      </text>
    </comment>
  </commentList>
</comments>
</file>

<file path=xl/comments2.xml><?xml version="1.0" encoding="utf-8"?>
<comments xmlns="http://schemas.openxmlformats.org/spreadsheetml/2006/main">
  <authors>
    <author>ON Semiconductor</author>
  </authors>
  <commentList>
    <comment ref="A13" authorId="0">
      <text>
        <r>
          <rPr>
            <b/>
            <sz val="8"/>
            <rFont val="Tahoma"/>
            <family val="0"/>
          </rPr>
          <t xml:space="preserve">ON Semiconductor:
</t>
        </r>
        <r>
          <rPr>
            <sz val="8"/>
            <rFont val="Tahoma"/>
            <family val="2"/>
          </rPr>
          <t>A red line with this value is shown in the "Drain vs Input Voltage" graph.
For 48V Telecom systems Vds is around 150 V.
For PFC front end systems regulated at 400V Vds is around 800 V.</t>
        </r>
      </text>
    </comment>
    <comment ref="A15" authorId="0">
      <text>
        <r>
          <rPr>
            <b/>
            <sz val="8"/>
            <rFont val="Tahoma"/>
            <family val="0"/>
          </rPr>
          <t>ON Semiconductor:</t>
        </r>
        <r>
          <rPr>
            <sz val="8"/>
            <rFont val="Tahoma"/>
            <family val="0"/>
          </rPr>
          <t xml:space="preserve">
If using a diode for rectification select an RDS(on) such that its product with Iout is equal to the diode forward drop.</t>
        </r>
      </text>
    </comment>
    <comment ref="A21" authorId="0">
      <text>
        <r>
          <rPr>
            <b/>
            <sz val="8"/>
            <rFont val="Tahoma"/>
            <family val="0"/>
          </rPr>
          <t xml:space="preserve">ON Semiconductor:
</t>
        </r>
        <r>
          <rPr>
            <sz val="8"/>
            <rFont val="Tahoma"/>
            <family val="0"/>
          </rPr>
          <t xml:space="preserve">
Use Duty Cycle from Graph in "Step1" Spreadsheet.
</t>
        </r>
      </text>
    </comment>
    <comment ref="A20" authorId="0">
      <text>
        <r>
          <rPr>
            <b/>
            <sz val="8"/>
            <rFont val="Tahoma"/>
            <family val="0"/>
          </rPr>
          <t>ON Semiconductor:</t>
        </r>
        <r>
          <rPr>
            <sz val="8"/>
            <rFont val="Tahoma"/>
            <family val="0"/>
          </rPr>
          <t xml:space="preserve">
Value at which the Drain Voltage of Power Switch at the minimum and maximum input voltages is equal.</t>
        </r>
      </text>
    </comment>
    <comment ref="A16" authorId="0">
      <text>
        <r>
          <rPr>
            <b/>
            <sz val="8"/>
            <rFont val="Tahoma"/>
            <family val="0"/>
          </rPr>
          <t>ON Semiconductor:</t>
        </r>
        <r>
          <rPr>
            <sz val="8"/>
            <rFont val="Tahoma"/>
            <family val="0"/>
          </rPr>
          <t xml:space="preserve">
Used for Input filter calculation.</t>
        </r>
      </text>
    </comment>
  </commentList>
</comments>
</file>

<file path=xl/comments3.xml><?xml version="1.0" encoding="utf-8"?>
<comments xmlns="http://schemas.openxmlformats.org/spreadsheetml/2006/main">
  <authors>
    <author>ON Semiconductor</author>
  </authors>
  <commentList>
    <comment ref="A4" authorId="0">
      <text>
        <r>
          <rPr>
            <b/>
            <sz val="8"/>
            <rFont val="Tahoma"/>
            <family val="0"/>
          </rPr>
          <t>ON Semiconductor:</t>
        </r>
        <r>
          <rPr>
            <sz val="8"/>
            <rFont val="Tahoma"/>
            <family val="0"/>
          </rPr>
          <t xml:space="preserve">
As percentage of Iout.</t>
        </r>
      </text>
    </comment>
    <comment ref="A7" authorId="0">
      <text>
        <r>
          <rPr>
            <b/>
            <sz val="8"/>
            <rFont val="Tahoma"/>
            <family val="0"/>
          </rPr>
          <t>ON Semiconductor:</t>
        </r>
        <r>
          <rPr>
            <sz val="8"/>
            <rFont val="Tahoma"/>
            <family val="0"/>
          </rPr>
          <t xml:space="preserve">
At High Line.</t>
        </r>
      </text>
    </comment>
    <comment ref="A8" authorId="0">
      <text>
        <r>
          <rPr>
            <b/>
            <sz val="8"/>
            <rFont val="Tahoma"/>
            <family val="0"/>
          </rPr>
          <t>ON Semiconductor:</t>
        </r>
        <r>
          <rPr>
            <sz val="8"/>
            <rFont val="Tahoma"/>
            <family val="0"/>
          </rPr>
          <t xml:space="preserve">
At Low Line.</t>
        </r>
      </text>
    </comment>
  </commentList>
</comments>
</file>

<file path=xl/comments4.xml><?xml version="1.0" encoding="utf-8"?>
<comments xmlns="http://schemas.openxmlformats.org/spreadsheetml/2006/main">
  <authors>
    <author>Juan Carlos</author>
  </authors>
  <commentList>
    <comment ref="A12" authorId="0">
      <text>
        <r>
          <rPr>
            <b/>
            <sz val="8"/>
            <rFont val="Tahoma"/>
            <family val="0"/>
          </rPr>
          <t>ON Semiconductor:</t>
        </r>
        <r>
          <rPr>
            <sz val="8"/>
            <rFont val="Tahoma"/>
            <family val="0"/>
          </rPr>
          <t xml:space="preserve">
At low Line.</t>
        </r>
      </text>
    </comment>
  </commentList>
</comments>
</file>

<file path=xl/comments5.xml><?xml version="1.0" encoding="utf-8"?>
<comments xmlns="http://schemas.openxmlformats.org/spreadsheetml/2006/main">
  <authors>
    <author>ON Semiconductor</author>
  </authors>
  <commentList>
    <comment ref="A22" authorId="0">
      <text>
        <r>
          <rPr>
            <b/>
            <sz val="8"/>
            <rFont val="Tahoma"/>
            <family val="0"/>
          </rPr>
          <t>ON Semiconductor:</t>
        </r>
        <r>
          <rPr>
            <sz val="8"/>
            <rFont val="Tahoma"/>
            <family val="0"/>
          </rPr>
          <t xml:space="preserve">
Body Diode on Voltage.
Use high temperature value.</t>
        </r>
      </text>
    </comment>
    <comment ref="A6" authorId="0">
      <text>
        <r>
          <rPr>
            <b/>
            <sz val="8"/>
            <rFont val="Tahoma"/>
            <family val="0"/>
          </rPr>
          <t>ON Semiconductor:</t>
        </r>
        <r>
          <rPr>
            <sz val="8"/>
            <rFont val="Tahoma"/>
            <family val="0"/>
          </rPr>
          <t xml:space="preserve">
Minimum Cout to meet ripple constraint.
Cout = 2Io/(8*f*Vripple)
</t>
        </r>
      </text>
    </comment>
    <comment ref="A11" authorId="0">
      <text>
        <r>
          <rPr>
            <b/>
            <sz val="8"/>
            <rFont val="Tahoma"/>
            <family val="0"/>
          </rPr>
          <t>ON Semiconductor:</t>
        </r>
        <r>
          <rPr>
            <sz val="8"/>
            <rFont val="Tahoma"/>
            <family val="0"/>
          </rPr>
          <t xml:space="preserve">
Rectification MOSFET current at full load and low line.</t>
        </r>
      </text>
    </comment>
    <comment ref="A12" authorId="0">
      <text>
        <r>
          <rPr>
            <b/>
            <sz val="8"/>
            <rFont val="Tahoma"/>
            <family val="0"/>
          </rPr>
          <t>ON Semiconductor:</t>
        </r>
        <r>
          <rPr>
            <sz val="8"/>
            <rFont val="Tahoma"/>
            <family val="0"/>
          </rPr>
          <t xml:space="preserve">
Freewheeling MOSFET current at full load and low line.</t>
        </r>
      </text>
    </comment>
    <comment ref="A13" authorId="0">
      <text>
        <r>
          <rPr>
            <b/>
            <sz val="8"/>
            <rFont val="Tahoma"/>
            <family val="0"/>
          </rPr>
          <t>ON Semiconductor:</t>
        </r>
        <r>
          <rPr>
            <sz val="8"/>
            <rFont val="Tahoma"/>
            <family val="0"/>
          </rPr>
          <t xml:space="preserve">
Rectification MOSFET current at full load and high line.</t>
        </r>
      </text>
    </comment>
    <comment ref="A14" authorId="0">
      <text>
        <r>
          <rPr>
            <b/>
            <sz val="8"/>
            <rFont val="Tahoma"/>
            <family val="0"/>
          </rPr>
          <t>ON Semiconductor:</t>
        </r>
        <r>
          <rPr>
            <sz val="8"/>
            <rFont val="Tahoma"/>
            <family val="0"/>
          </rPr>
          <t xml:space="preserve">
Freewheeling MOSFET current at full load and high line.</t>
        </r>
      </text>
    </comment>
    <comment ref="A18" authorId="0">
      <text>
        <r>
          <rPr>
            <b/>
            <sz val="8"/>
            <rFont val="Tahoma"/>
            <family val="0"/>
          </rPr>
          <t>ON Semiconductor:</t>
        </r>
        <r>
          <rPr>
            <sz val="8"/>
            <rFont val="Tahoma"/>
            <family val="0"/>
          </rPr>
          <t xml:space="preserve">
Refer to MOSFET datasheet.</t>
        </r>
      </text>
    </comment>
    <comment ref="B16" authorId="0">
      <text>
        <r>
          <rPr>
            <b/>
            <sz val="8"/>
            <rFont val="Tahoma"/>
            <family val="0"/>
          </rPr>
          <t>ON Semiconductor:</t>
        </r>
        <r>
          <rPr>
            <sz val="8"/>
            <rFont val="Tahoma"/>
            <family val="0"/>
          </rPr>
          <t xml:space="preserve">
If text is red, maximum gate voltage is exceeded.</t>
        </r>
      </text>
    </comment>
    <comment ref="B17" authorId="0">
      <text>
        <r>
          <rPr>
            <b/>
            <sz val="8"/>
            <rFont val="Tahoma"/>
            <family val="0"/>
          </rPr>
          <t>ON Semiconductor:</t>
        </r>
        <r>
          <rPr>
            <sz val="8"/>
            <rFont val="Tahoma"/>
            <family val="0"/>
          </rPr>
          <t xml:space="preserve">
If text is red, maximum gate voltage is exceeded.</t>
        </r>
      </text>
    </comment>
  </commentList>
</comments>
</file>

<file path=xl/comments6.xml><?xml version="1.0" encoding="utf-8"?>
<comments xmlns="http://schemas.openxmlformats.org/spreadsheetml/2006/main">
  <authors>
    <author>ON Semiconductor</author>
    <author>Juan Carlos</author>
  </authors>
  <commentList>
    <comment ref="B12" authorId="0">
      <text>
        <r>
          <rPr>
            <b/>
            <sz val="8"/>
            <rFont val="Tahoma"/>
            <family val="0"/>
          </rPr>
          <t>ON Semiconductor:</t>
        </r>
        <r>
          <rPr>
            <sz val="8"/>
            <rFont val="Tahoma"/>
            <family val="0"/>
          </rPr>
          <t xml:space="preserve">
At a given voltage. 
Refer to manufacturer datasheet.</t>
        </r>
      </text>
    </comment>
    <comment ref="B13" authorId="0">
      <text>
        <r>
          <rPr>
            <b/>
            <sz val="8"/>
            <rFont val="Tahoma"/>
            <family val="0"/>
          </rPr>
          <t>ON Semiconductor:</t>
        </r>
        <r>
          <rPr>
            <sz val="8"/>
            <rFont val="Tahoma"/>
            <family val="0"/>
          </rPr>
          <t xml:space="preserve">
Use zero if unknown.</t>
        </r>
      </text>
    </comment>
    <comment ref="B11" authorId="0">
      <text>
        <r>
          <rPr>
            <b/>
            <sz val="8"/>
            <rFont val="Tahoma"/>
            <family val="0"/>
          </rPr>
          <t>ON Semiconductor:</t>
        </r>
        <r>
          <rPr>
            <sz val="8"/>
            <rFont val="Tahoma"/>
            <family val="0"/>
          </rPr>
          <t xml:space="preserve">
Use zero if no external inductor is used.</t>
        </r>
      </text>
    </comment>
    <comment ref="B18" authorId="0">
      <text>
        <r>
          <rPr>
            <b/>
            <sz val="8"/>
            <rFont val="Tahoma"/>
            <family val="0"/>
          </rPr>
          <t>ON Semiconductor:</t>
        </r>
        <r>
          <rPr>
            <sz val="8"/>
            <rFont val="Tahoma"/>
            <family val="0"/>
          </rPr>
          <t xml:space="preserve">
Time it takes the drain of the main switch to charge to Vin during.
</t>
        </r>
        <r>
          <rPr>
            <b/>
            <sz val="8"/>
            <rFont val="Tahoma"/>
            <family val="2"/>
          </rPr>
          <t>Worst case:</t>
        </r>
        <r>
          <rPr>
            <sz val="8"/>
            <rFont val="Tahoma"/>
            <family val="0"/>
          </rPr>
          <t xml:space="preserve"> Min Load/High Line
t = Cdrain*Vin/(Iout/N+Imag)</t>
        </r>
      </text>
    </comment>
    <comment ref="B19" authorId="0">
      <text>
        <r>
          <rPr>
            <b/>
            <sz val="8"/>
            <rFont val="Tahoma"/>
            <family val="0"/>
          </rPr>
          <t>ON Semiconductor:</t>
        </r>
        <r>
          <rPr>
            <sz val="8"/>
            <rFont val="Tahoma"/>
            <family val="0"/>
          </rPr>
          <t xml:space="preserve">
Time it takes the drain of the main switch to charge from Vin to Vclamp.
</t>
        </r>
        <r>
          <rPr>
            <b/>
            <sz val="8"/>
            <rFont val="Tahoma"/>
            <family val="2"/>
          </rPr>
          <t xml:space="preserve">Worst Case: </t>
        </r>
        <r>
          <rPr>
            <sz val="8"/>
            <rFont val="Tahoma"/>
            <family val="0"/>
          </rPr>
          <t>Min Load/High Line
t = sin-1(Vclamp/(Im*Zc)/w</t>
        </r>
      </text>
    </comment>
    <comment ref="B20" authorId="0">
      <text>
        <r>
          <rPr>
            <b/>
            <sz val="8"/>
            <rFont val="Tahoma"/>
            <family val="0"/>
          </rPr>
          <t>ON Semiconductor:</t>
        </r>
        <r>
          <rPr>
            <sz val="8"/>
            <rFont val="Tahoma"/>
            <family val="0"/>
          </rPr>
          <t xml:space="preserve">
Sum of the time it takes the drain to reach Vin and from Vin to Clamp during turn off.</t>
        </r>
      </text>
    </comment>
    <comment ref="B21" authorId="0">
      <text>
        <r>
          <rPr>
            <b/>
            <sz val="8"/>
            <rFont val="Tahoma"/>
            <family val="0"/>
          </rPr>
          <t>ON Semiconductor:</t>
        </r>
        <r>
          <rPr>
            <sz val="8"/>
            <rFont val="Tahoma"/>
            <family val="0"/>
          </rPr>
          <t xml:space="preserve">
Time it takes Imag to reverse direction. </t>
        </r>
      </text>
    </comment>
    <comment ref="B22" authorId="0">
      <text>
        <r>
          <rPr>
            <b/>
            <sz val="8"/>
            <rFont val="Tahoma"/>
            <family val="0"/>
          </rPr>
          <t>ON Semiconductor:</t>
        </r>
        <r>
          <rPr>
            <sz val="8"/>
            <rFont val="Tahoma"/>
            <family val="0"/>
          </rPr>
          <t xml:space="preserve">
Additional time is needed to discharge below Vin.
Worst case at low line.</t>
        </r>
      </text>
    </comment>
    <comment ref="B14" authorId="0">
      <text>
        <r>
          <rPr>
            <b/>
            <sz val="8"/>
            <rFont val="Tahoma"/>
            <family val="0"/>
          </rPr>
          <t>ON Semiconductor:</t>
        </r>
        <r>
          <rPr>
            <sz val="8"/>
            <rFont val="Tahoma"/>
            <family val="0"/>
          </rPr>
          <t xml:space="preserve">
Total Gate Charge.
Refers to manufacturer Datasheet.</t>
        </r>
      </text>
    </comment>
    <comment ref="B15" authorId="0">
      <text>
        <r>
          <rPr>
            <b/>
            <sz val="8"/>
            <rFont val="Tahoma"/>
            <family val="0"/>
          </rPr>
          <t>ON Semiconductor:</t>
        </r>
        <r>
          <rPr>
            <sz val="8"/>
            <rFont val="Tahoma"/>
            <family val="0"/>
          </rPr>
          <t xml:space="preserve">
Total Gate Charge.
Refers to manufacturer datasheet.</t>
        </r>
      </text>
    </comment>
    <comment ref="B27" authorId="1">
      <text>
        <r>
          <rPr>
            <b/>
            <sz val="8"/>
            <rFont val="Tahoma"/>
            <family val="0"/>
          </rPr>
          <t>ON Semiconductor:</t>
        </r>
        <r>
          <rPr>
            <sz val="8"/>
            <rFont val="Tahoma"/>
            <family val="0"/>
          </rPr>
          <t xml:space="preserve">
Maximum RMS current occurs at high line. 
Assumption: Current reverses direction at 1/2 toff.
IRMS = Imag*SQRT( (1-D)/2 )</t>
        </r>
      </text>
    </comment>
  </commentList>
</comments>
</file>

<file path=xl/comments7.xml><?xml version="1.0" encoding="utf-8"?>
<comments xmlns="http://schemas.openxmlformats.org/spreadsheetml/2006/main">
  <authors>
    <author>ON Semiconductor</author>
  </authors>
  <commentList>
    <comment ref="I7" authorId="0">
      <text>
        <r>
          <rPr>
            <b/>
            <sz val="8"/>
            <rFont val="Tahoma"/>
            <family val="0"/>
          </rPr>
          <t>ON Semiconductor:</t>
        </r>
        <r>
          <rPr>
            <sz val="8"/>
            <rFont val="Tahoma"/>
            <family val="0"/>
          </rPr>
          <t xml:space="preserve">
Enter closest standard value</t>
        </r>
      </text>
    </comment>
    <comment ref="I8" authorId="0">
      <text>
        <r>
          <rPr>
            <b/>
            <sz val="8"/>
            <rFont val="Tahoma"/>
            <family val="0"/>
          </rPr>
          <t>ON Semiconductor:</t>
        </r>
        <r>
          <rPr>
            <sz val="8"/>
            <rFont val="Tahoma"/>
            <family val="0"/>
          </rPr>
          <t xml:space="preserve">
Enter closest standard value</t>
        </r>
      </text>
    </comment>
    <comment ref="C19" authorId="0">
      <text>
        <r>
          <rPr>
            <b/>
            <sz val="8"/>
            <rFont val="Tahoma"/>
            <family val="0"/>
          </rPr>
          <t>ON Semiconductor:</t>
        </r>
        <r>
          <rPr>
            <sz val="8"/>
            <rFont val="Tahoma"/>
            <family val="0"/>
          </rPr>
          <t xml:space="preserve">
Should be less than 10 mA.</t>
        </r>
      </text>
    </comment>
    <comment ref="H29" authorId="0">
      <text>
        <r>
          <rPr>
            <b/>
            <sz val="8"/>
            <rFont val="Tahoma"/>
            <family val="0"/>
          </rPr>
          <t>ON Semiconductor:</t>
        </r>
        <r>
          <rPr>
            <sz val="8"/>
            <rFont val="Tahoma"/>
            <family val="0"/>
          </rPr>
          <t xml:space="preserve">
Current limit threshold of NCP1562.</t>
        </r>
      </text>
    </comment>
    <comment ref="H21" authorId="0">
      <text>
        <r>
          <rPr>
            <b/>
            <sz val="8"/>
            <rFont val="Tahoma"/>
            <family val="0"/>
          </rPr>
          <t>ON Semiconductor:</t>
        </r>
        <r>
          <rPr>
            <sz val="8"/>
            <rFont val="Tahoma"/>
            <family val="0"/>
          </rPr>
          <t xml:space="preserve">
Current should be less than the internal pull down current. 
Cell turns red if current exceeds 8 mA.</t>
        </r>
      </text>
    </comment>
  </commentList>
</comments>
</file>

<file path=xl/comments8.xml><?xml version="1.0" encoding="utf-8"?>
<comments xmlns="http://schemas.openxmlformats.org/spreadsheetml/2006/main">
  <authors>
    <author>ON Semiconductor</author>
  </authors>
  <commentList>
    <comment ref="B7" authorId="0">
      <text>
        <r>
          <rPr>
            <b/>
            <sz val="8"/>
            <rFont val="Tahoma"/>
            <family val="0"/>
          </rPr>
          <t>ON Semiconductor:</t>
        </r>
        <r>
          <rPr>
            <sz val="8"/>
            <rFont val="Tahoma"/>
            <family val="0"/>
          </rPr>
          <t xml:space="preserve">
It uses the overlap delay entered on Step 4</t>
        </r>
      </text>
    </comment>
  </commentList>
</comments>
</file>

<file path=xl/comments9.xml><?xml version="1.0" encoding="utf-8"?>
<comments xmlns="http://schemas.openxmlformats.org/spreadsheetml/2006/main">
  <authors>
    <author>ON Semiconductor</author>
    <author>Juan Carlos</author>
  </authors>
  <commentList>
    <comment ref="B9" authorId="0">
      <text>
        <r>
          <rPr>
            <b/>
            <sz val="8"/>
            <rFont val="Tahoma"/>
            <family val="0"/>
          </rPr>
          <t>ON Semiconductor:</t>
        </r>
        <r>
          <rPr>
            <sz val="8"/>
            <rFont val="Tahoma"/>
            <family val="0"/>
          </rPr>
          <t xml:space="preserve">
Refer to datasheet for current at given V</t>
        </r>
        <r>
          <rPr>
            <vertAlign val="subscript"/>
            <sz val="8"/>
            <rFont val="Tahoma"/>
            <family val="2"/>
          </rPr>
          <t>AUX</t>
        </r>
        <r>
          <rPr>
            <sz val="8"/>
            <rFont val="Tahoma"/>
            <family val="0"/>
          </rPr>
          <t>.</t>
        </r>
      </text>
    </comment>
    <comment ref="B10" authorId="0">
      <text>
        <r>
          <rPr>
            <b/>
            <sz val="8"/>
            <rFont val="Tahoma"/>
            <family val="0"/>
          </rPr>
          <t>ON Semiconductor:</t>
        </r>
        <r>
          <rPr>
            <sz val="8"/>
            <rFont val="Tahoma"/>
            <family val="0"/>
          </rPr>
          <t xml:space="preserve">
Includes any other current derived from V</t>
        </r>
        <r>
          <rPr>
            <vertAlign val="subscript"/>
            <sz val="8"/>
            <rFont val="Tahoma"/>
            <family val="2"/>
          </rPr>
          <t>AUX</t>
        </r>
        <r>
          <rPr>
            <sz val="8"/>
            <rFont val="Tahoma"/>
            <family val="0"/>
          </rPr>
          <t xml:space="preserve"> or V</t>
        </r>
        <r>
          <rPr>
            <vertAlign val="subscript"/>
            <sz val="8"/>
            <rFont val="Tahoma"/>
            <family val="2"/>
          </rPr>
          <t>REF</t>
        </r>
        <r>
          <rPr>
            <sz val="8"/>
            <rFont val="Tahoma"/>
            <family val="0"/>
          </rPr>
          <t>.</t>
        </r>
      </text>
    </comment>
    <comment ref="B18" authorId="0">
      <text>
        <r>
          <rPr>
            <b/>
            <sz val="8"/>
            <rFont val="Tahoma"/>
            <family val="0"/>
          </rPr>
          <t>ON Semiconductor:</t>
        </r>
        <r>
          <rPr>
            <sz val="8"/>
            <rFont val="Tahoma"/>
            <family val="0"/>
          </rPr>
          <t xml:space="preserve">
Valley current of the inductor. It should be greater than 0 mA in order for the inductor to remain in continuous mode. 
A flag is enabled if the current is less than or equal to 1 mA to provide some margin.</t>
        </r>
      </text>
    </comment>
    <comment ref="B11" authorId="0">
      <text>
        <r>
          <rPr>
            <b/>
            <sz val="8"/>
            <rFont val="Tahoma"/>
            <family val="0"/>
          </rPr>
          <t>ON Semiconductor:</t>
        </r>
        <r>
          <rPr>
            <sz val="8"/>
            <rFont val="Tahoma"/>
            <family val="0"/>
          </rPr>
          <t xml:space="preserve">
Calculated from switching frequency and gate charge of main and active clamp switches.</t>
        </r>
      </text>
    </comment>
    <comment ref="H4" authorId="0">
      <text>
        <r>
          <rPr>
            <b/>
            <sz val="8"/>
            <rFont val="Tahoma"/>
            <family val="0"/>
          </rPr>
          <t>ON Semiconductor:</t>
        </r>
        <r>
          <rPr>
            <sz val="8"/>
            <rFont val="Tahoma"/>
            <family val="0"/>
          </rPr>
          <t xml:space="preserve">
Time in continuous current limit before entering cycle skip mode.</t>
        </r>
      </text>
    </comment>
    <comment ref="H6" authorId="0">
      <text>
        <r>
          <rPr>
            <b/>
            <sz val="8"/>
            <rFont val="Tahoma"/>
            <family val="0"/>
          </rPr>
          <t>ON Semiconductor:</t>
        </r>
        <r>
          <rPr>
            <sz val="8"/>
            <rFont val="Tahoma"/>
            <family val="0"/>
          </rPr>
          <t xml:space="preserve">
Number of current limit pulses needed to enter cycle skip based on desired cycle skip time.</t>
        </r>
      </text>
    </comment>
    <comment ref="H11" authorId="0">
      <text>
        <r>
          <rPr>
            <b/>
            <sz val="8"/>
            <rFont val="Tahoma"/>
            <family val="0"/>
          </rPr>
          <t>ON Semiconductor:</t>
        </r>
        <r>
          <rPr>
            <sz val="8"/>
            <rFont val="Tahoma"/>
            <family val="0"/>
          </rPr>
          <t xml:space="preserve">
Desired Soft-start time.</t>
        </r>
      </text>
    </comment>
    <comment ref="H12" authorId="0">
      <text>
        <r>
          <rPr>
            <b/>
            <sz val="8"/>
            <rFont val="Tahoma"/>
            <family val="0"/>
          </rPr>
          <t>ON Semiconductor:</t>
        </r>
        <r>
          <rPr>
            <sz val="8"/>
            <rFont val="Tahoma"/>
            <family val="0"/>
          </rPr>
          <t xml:space="preserve">
Assuming converter is in regulation.
Set by operating duty cycle and ratio of soft-start charge/discharge currents.</t>
        </r>
      </text>
    </comment>
    <comment ref="H5" authorId="0">
      <text>
        <r>
          <rPr>
            <b/>
            <sz val="8"/>
            <rFont val="Tahoma"/>
            <family val="0"/>
          </rPr>
          <t>ON Semiconductor:</t>
        </r>
        <r>
          <rPr>
            <sz val="8"/>
            <rFont val="Tahoma"/>
            <family val="0"/>
          </rPr>
          <t xml:space="preserve">
Set by desired cycle skip time and ratio of cycle skip charge/discharge currents.</t>
        </r>
      </text>
    </comment>
    <comment ref="H13" authorId="0">
      <text>
        <r>
          <rPr>
            <b/>
            <sz val="8"/>
            <rFont val="Tahoma"/>
            <family val="0"/>
          </rPr>
          <t>ON Semiconductor:</t>
        </r>
        <r>
          <rPr>
            <sz val="8"/>
            <rFont val="Tahoma"/>
            <family val="0"/>
          </rPr>
          <t xml:space="preserve">
Assuming converter is in regulation.
Set by operating duty cycle and ratio of soft-start charge/discharge currents.</t>
        </r>
      </text>
    </comment>
    <comment ref="H8" authorId="0">
      <text>
        <r>
          <rPr>
            <b/>
            <sz val="8"/>
            <rFont val="Tahoma"/>
            <family val="0"/>
          </rPr>
          <t>ON Semiconductor:</t>
        </r>
        <r>
          <rPr>
            <sz val="8"/>
            <rFont val="Tahoma"/>
            <family val="0"/>
          </rPr>
          <t xml:space="preserve">
Delete value if you want to use suggested value.</t>
        </r>
      </text>
    </comment>
    <comment ref="H16" authorId="0">
      <text>
        <r>
          <rPr>
            <b/>
            <sz val="8"/>
            <rFont val="Tahoma"/>
            <family val="0"/>
          </rPr>
          <t>ON Semiconductor:</t>
        </r>
        <r>
          <rPr>
            <sz val="8"/>
            <rFont val="Tahoma"/>
            <family val="0"/>
          </rPr>
          <t xml:space="preserve">
Delete value if you want to use suggested value.</t>
        </r>
      </text>
    </comment>
    <comment ref="H20" authorId="1">
      <text>
        <r>
          <rPr>
            <b/>
            <sz val="8"/>
            <rFont val="Tahoma"/>
            <family val="0"/>
          </rPr>
          <t>ON Semiconductor:</t>
        </r>
        <r>
          <rPr>
            <sz val="8"/>
            <rFont val="Tahoma"/>
            <family val="0"/>
          </rPr>
          <t xml:space="preserve">
Use 1.25 V for TLV431 or 2.5 V for TL431. </t>
        </r>
      </text>
    </comment>
    <comment ref="B6" authorId="1">
      <text>
        <r>
          <rPr>
            <b/>
            <sz val="8"/>
            <rFont val="Tahoma"/>
            <family val="0"/>
          </rPr>
          <t xml:space="preserve">ON Semiconductor:
</t>
        </r>
        <r>
          <rPr>
            <sz val="8"/>
            <rFont val="Tahoma"/>
            <family val="2"/>
          </rPr>
          <t>Suggested turns ratio to achieve Target Auxiliary Voltage.</t>
        </r>
        <r>
          <rPr>
            <sz val="8"/>
            <rFont val="Tahoma"/>
            <family val="0"/>
          </rPr>
          <t xml:space="preserve">
</t>
        </r>
      </text>
    </comment>
    <comment ref="B7" authorId="1">
      <text>
        <r>
          <rPr>
            <b/>
            <sz val="8"/>
            <rFont val="Tahoma"/>
            <family val="0"/>
          </rPr>
          <t>ON Semiconductor:</t>
        </r>
        <r>
          <rPr>
            <sz val="8"/>
            <rFont val="Tahoma"/>
            <family val="0"/>
          </rPr>
          <t xml:space="preserve">
The user can override the suggested turns if it can't be achieved with the existing transformer. The "Auxiliary Voltage" below calculates the voltage with the turns enter in this field. 
To use the suggested value, click on the value and press "Delete". </t>
        </r>
      </text>
    </comment>
  </commentList>
</comments>
</file>

<file path=xl/sharedStrings.xml><?xml version="1.0" encoding="utf-8"?>
<sst xmlns="http://schemas.openxmlformats.org/spreadsheetml/2006/main" count="747" uniqueCount="534">
  <si>
    <r>
      <t>V</t>
    </r>
    <r>
      <rPr>
        <vertAlign val="subscript"/>
        <sz val="10"/>
        <rFont val="Arial"/>
        <family val="2"/>
      </rPr>
      <t>DC</t>
    </r>
  </si>
  <si>
    <t>kHz</t>
  </si>
  <si>
    <t>A</t>
  </si>
  <si>
    <t>Project:</t>
  </si>
  <si>
    <t>Comment:</t>
  </si>
  <si>
    <t>Provided by ON Semiconductor</t>
  </si>
  <si>
    <t>Design Constraints</t>
  </si>
  <si>
    <t>Vin (V)</t>
  </si>
  <si>
    <t>Np/Ns1</t>
  </si>
  <si>
    <t>DCmax</t>
  </si>
  <si>
    <t>Step1 Spreadsheet</t>
  </si>
  <si>
    <t>mV</t>
  </si>
  <si>
    <r>
      <t>m</t>
    </r>
    <r>
      <rPr>
        <sz val="10"/>
        <rFont val="Arial"/>
        <family val="2"/>
      </rPr>
      <t>F</t>
    </r>
  </si>
  <si>
    <t>Sync Rectification</t>
  </si>
  <si>
    <r>
      <t>m</t>
    </r>
    <r>
      <rPr>
        <sz val="10"/>
        <rFont val="Symbol"/>
        <family val="1"/>
      </rPr>
      <t>W</t>
    </r>
  </si>
  <si>
    <t>nC</t>
  </si>
  <si>
    <t>ns</t>
  </si>
  <si>
    <r>
      <t>m</t>
    </r>
    <r>
      <rPr>
        <sz val="10"/>
        <rFont val="Arial"/>
        <family val="0"/>
      </rPr>
      <t>H</t>
    </r>
  </si>
  <si>
    <t>Plot Options</t>
  </si>
  <si>
    <t>System</t>
  </si>
  <si>
    <t>Frequency</t>
  </si>
  <si>
    <t>Compensation Network</t>
  </si>
  <si>
    <t>Total</t>
  </si>
  <si>
    <t>Total System</t>
  </si>
  <si>
    <t>Compensation Network Gain</t>
  </si>
  <si>
    <t>System Gain</t>
  </si>
  <si>
    <t>DC</t>
  </si>
  <si>
    <t>Pcond1</t>
  </si>
  <si>
    <t>Pcond2</t>
  </si>
  <si>
    <t>Prr</t>
  </si>
  <si>
    <t>V</t>
  </si>
  <si>
    <t>NCP1562 Design Aid</t>
  </si>
  <si>
    <t>%</t>
  </si>
  <si>
    <t>0.95*DCmax</t>
  </si>
  <si>
    <t>1.05*DCmax</t>
  </si>
  <si>
    <t>Suggested Dcmax</t>
  </si>
  <si>
    <t>Switch VDS Rating</t>
  </si>
  <si>
    <t>Primary Side</t>
  </si>
  <si>
    <t>Max Drain Voltage</t>
  </si>
  <si>
    <t>Min Drain Voltage</t>
  </si>
  <si>
    <r>
      <t>Rectifier R</t>
    </r>
    <r>
      <rPr>
        <vertAlign val="subscript"/>
        <sz val="10"/>
        <rFont val="Arial"/>
        <family val="2"/>
      </rPr>
      <t>DS(on)</t>
    </r>
  </si>
  <si>
    <r>
      <t>f</t>
    </r>
    <r>
      <rPr>
        <vertAlign val="subscript"/>
        <sz val="10"/>
        <rFont val="Arial"/>
        <family val="2"/>
      </rPr>
      <t>switch</t>
    </r>
  </si>
  <si>
    <r>
      <t>Vin</t>
    </r>
    <r>
      <rPr>
        <vertAlign val="subscript"/>
        <sz val="10"/>
        <rFont val="Arial"/>
        <family val="2"/>
      </rPr>
      <t>min</t>
    </r>
  </si>
  <si>
    <r>
      <t>Vin</t>
    </r>
    <r>
      <rPr>
        <vertAlign val="subscript"/>
        <sz val="10"/>
        <rFont val="Arial"/>
        <family val="2"/>
      </rPr>
      <t>max</t>
    </r>
  </si>
  <si>
    <t>Vout</t>
  </si>
  <si>
    <t>Iout</t>
  </si>
  <si>
    <t>Turns Ratio Override</t>
  </si>
  <si>
    <t>Step2 Spreadsheet</t>
  </si>
  <si>
    <t>Cell with comment:</t>
  </si>
  <si>
    <t>To read comment, place cursor on top of red mark in the upper right corner of the cell.</t>
  </si>
  <si>
    <t>Inputs:</t>
  </si>
  <si>
    <t>Note:</t>
  </si>
  <si>
    <t xml:space="preserve">These sheets are protected against changes in most cells, except where inputs are allowed. This has been done to assure the integrity of this spread sheet. It can not be modified by the user. </t>
  </si>
  <si>
    <t>Any comments or suggestions regarding changes in this document should be sent to:</t>
  </si>
  <si>
    <t>j.pastrana@onsemi.com</t>
  </si>
  <si>
    <t>Created by: Juan Carlos Pastrana (ON Semiconductor)</t>
  </si>
  <si>
    <t>NCP1562 Design Sheet Directions</t>
  </si>
  <si>
    <t>This spreadsheet calculates both system and component data for use with the NCP1562 in an active clamp forward topology with a single output. Calculations are based on system specifications provided by the user.
This spreadsheet requires macros to be enabled to operate correctly.
Comments are available in multiple cells within this spreadsheet and looks like shown below:</t>
  </si>
  <si>
    <r>
      <t>Primary Switch R</t>
    </r>
    <r>
      <rPr>
        <vertAlign val="subscript"/>
        <sz val="10"/>
        <rFont val="Arial"/>
        <family val="2"/>
      </rPr>
      <t>DS(on)</t>
    </r>
  </si>
  <si>
    <t>Duty Cycle</t>
  </si>
  <si>
    <t>Suggested Output Inductor</t>
  </si>
  <si>
    <t>Inductor Ripple Current %</t>
  </si>
  <si>
    <t>Step 2: Power Stage</t>
  </si>
  <si>
    <t>VREF
(V)</t>
  </si>
  <si>
    <r>
      <t>RT
(k</t>
    </r>
    <r>
      <rPr>
        <b/>
        <sz val="10"/>
        <rFont val="Symbol"/>
        <family val="1"/>
      </rPr>
      <t>W</t>
    </r>
    <r>
      <rPr>
        <b/>
        <sz val="10"/>
        <rFont val="Arial"/>
        <family val="2"/>
      </rPr>
      <t>)</t>
    </r>
  </si>
  <si>
    <t>ton (us)</t>
  </si>
  <si>
    <t>toff (us)</t>
  </si>
  <si>
    <t>f (kHz)</t>
  </si>
  <si>
    <t>Dcmax
(%)</t>
  </si>
  <si>
    <t>CT
(pF)</t>
  </si>
  <si>
    <r>
      <t>I</t>
    </r>
    <r>
      <rPr>
        <b/>
        <vertAlign val="subscript"/>
        <sz val="10"/>
        <rFont val="Arial"/>
        <family val="2"/>
      </rPr>
      <t>RTCT</t>
    </r>
    <r>
      <rPr>
        <b/>
        <sz val="10"/>
        <rFont val="Arial"/>
        <family val="2"/>
      </rPr>
      <t xml:space="preserve"> (</t>
    </r>
    <r>
      <rPr>
        <b/>
        <sz val="10"/>
        <rFont val="Symbol"/>
        <family val="1"/>
      </rPr>
      <t>m</t>
    </r>
    <r>
      <rPr>
        <b/>
        <sz val="10"/>
        <rFont val="Arial"/>
        <family val="2"/>
      </rPr>
      <t>A)</t>
    </r>
  </si>
  <si>
    <r>
      <t>V</t>
    </r>
    <r>
      <rPr>
        <b/>
        <vertAlign val="subscript"/>
        <sz val="10"/>
        <rFont val="Arial"/>
        <family val="2"/>
      </rPr>
      <t xml:space="preserve">RTCT(valley)
</t>
    </r>
    <r>
      <rPr>
        <b/>
        <sz val="10"/>
        <rFont val="Arial"/>
        <family val="2"/>
      </rPr>
      <t>(V)</t>
    </r>
  </si>
  <si>
    <r>
      <t>V</t>
    </r>
    <r>
      <rPr>
        <b/>
        <vertAlign val="subscript"/>
        <sz val="10"/>
        <rFont val="Arial"/>
        <family val="2"/>
      </rPr>
      <t>RTCT(peak)</t>
    </r>
    <r>
      <rPr>
        <b/>
        <sz val="10"/>
        <rFont val="Arial"/>
        <family val="2"/>
      </rPr>
      <t xml:space="preserve"> (V)</t>
    </r>
  </si>
  <si>
    <t xml:space="preserve">CT = </t>
  </si>
  <si>
    <t xml:space="preserve"> pF</t>
  </si>
  <si>
    <t>pF</t>
  </si>
  <si>
    <t>Capacitance (nC)</t>
  </si>
  <si>
    <t>Zca (Ohms)</t>
  </si>
  <si>
    <t>Im(rev)</t>
  </si>
  <si>
    <t>phi</t>
  </si>
  <si>
    <t>Magnetizing Inductance</t>
  </si>
  <si>
    <t>Vrip</t>
  </si>
  <si>
    <t>Output Stage</t>
  </si>
  <si>
    <t>Target Maximum DC</t>
  </si>
  <si>
    <t>Max Inductor Ripple Current</t>
  </si>
  <si>
    <r>
      <t>High Line Ipri</t>
    </r>
    <r>
      <rPr>
        <vertAlign val="subscript"/>
        <sz val="10"/>
        <rFont val="Arial"/>
        <family val="2"/>
      </rPr>
      <t>(pk1)</t>
    </r>
  </si>
  <si>
    <r>
      <t>Low Line Ipri</t>
    </r>
    <r>
      <rPr>
        <vertAlign val="subscript"/>
        <sz val="10"/>
        <rFont val="Arial"/>
        <family val="2"/>
      </rPr>
      <t>(pk2)</t>
    </r>
  </si>
  <si>
    <t>Step 1: System Specifications</t>
  </si>
  <si>
    <t>Select appropriate turns Ratio (Np:Ns) and proceed to "Step2" Spreadsheet</t>
  </si>
  <si>
    <t>-</t>
  </si>
  <si>
    <t>time</t>
  </si>
  <si>
    <t>Current (A)</t>
  </si>
  <si>
    <t>Inductor Ripple Current at High Line</t>
  </si>
  <si>
    <t>Inductor Ripple Current at Low Line</t>
  </si>
  <si>
    <t>Current(A)</t>
  </si>
  <si>
    <t>Select output and magnetizing inductances and proceed to "Step3" Spreadsheet</t>
  </si>
  <si>
    <t>Primary Current at Low Line</t>
  </si>
  <si>
    <t>Primary Current at High Line</t>
  </si>
  <si>
    <t>Magnetizing current at Low Line (A)</t>
  </si>
  <si>
    <t>Magnetizing current at High Line (A)</t>
  </si>
  <si>
    <t>Pgate1</t>
  </si>
  <si>
    <t>Pgate2</t>
  </si>
  <si>
    <t>Pbd1</t>
  </si>
  <si>
    <t>Pbd2</t>
  </si>
  <si>
    <t>Loss M2</t>
  </si>
  <si>
    <t>Loss M1</t>
  </si>
  <si>
    <t>Select output capacitance and evaluate Sync. Rect. Losses and proceed to "Step4" Spreadsheet</t>
  </si>
  <si>
    <t>Im(rev)/Im</t>
  </si>
  <si>
    <t>Low Line Vclamp =</t>
  </si>
  <si>
    <t>Low Line</t>
  </si>
  <si>
    <t>High Line</t>
  </si>
  <si>
    <t>High Line Vclamp =</t>
  </si>
  <si>
    <r>
      <t>Min C</t>
    </r>
    <r>
      <rPr>
        <vertAlign val="subscript"/>
        <sz val="10"/>
        <rFont val="Arial"/>
        <family val="2"/>
      </rPr>
      <t>clamp</t>
    </r>
  </si>
  <si>
    <r>
      <t>Max C</t>
    </r>
    <r>
      <rPr>
        <vertAlign val="subscript"/>
        <sz val="10"/>
        <rFont val="Arial"/>
        <family val="2"/>
      </rPr>
      <t>clamp</t>
    </r>
  </si>
  <si>
    <t>System Parameters</t>
  </si>
  <si>
    <t>Leakage Inductance</t>
  </si>
  <si>
    <t>External Inductance</t>
  </si>
  <si>
    <r>
      <t>Main Switch C</t>
    </r>
    <r>
      <rPr>
        <vertAlign val="subscript"/>
        <sz val="10"/>
        <rFont val="Arial"/>
        <family val="2"/>
      </rPr>
      <t>OSS</t>
    </r>
  </si>
  <si>
    <t>Min Inductor Ripple Current</t>
  </si>
  <si>
    <t>Step4 Spreadsheet</t>
  </si>
  <si>
    <t>t1-2</t>
  </si>
  <si>
    <t>Drain Capacitance</t>
  </si>
  <si>
    <t>Iout min</t>
  </si>
  <si>
    <t>Ioutmax</t>
  </si>
  <si>
    <t>Imagll</t>
  </si>
  <si>
    <t>Imaghl</t>
  </si>
  <si>
    <t>Low Line/Min load</t>
  </si>
  <si>
    <t>Low Line/Max load</t>
  </si>
  <si>
    <t>High Line/Min load</t>
  </si>
  <si>
    <t>High Line/Max load</t>
  </si>
  <si>
    <t>t2-3</t>
  </si>
  <si>
    <t>Vclhl</t>
  </si>
  <si>
    <t>Vclll</t>
  </si>
  <si>
    <t>w</t>
  </si>
  <si>
    <t>Zc</t>
  </si>
  <si>
    <t>Total rise time</t>
  </si>
  <si>
    <t>Time to reverse Imag</t>
  </si>
  <si>
    <r>
      <t>Minimum t</t>
    </r>
    <r>
      <rPr>
        <vertAlign val="subscript"/>
        <sz val="10"/>
        <rFont val="Arial"/>
        <family val="2"/>
      </rPr>
      <t>D</t>
    </r>
  </si>
  <si>
    <r>
      <t>Maximum t</t>
    </r>
    <r>
      <rPr>
        <vertAlign val="subscript"/>
        <sz val="10"/>
        <rFont val="Arial"/>
        <family val="2"/>
      </rPr>
      <t>D</t>
    </r>
  </si>
  <si>
    <t>t5-6(ll)</t>
  </si>
  <si>
    <t>t5-6(hl)</t>
  </si>
  <si>
    <t>phi(ll)</t>
  </si>
  <si>
    <t>phi(hl)</t>
  </si>
  <si>
    <t>Imall</t>
  </si>
  <si>
    <t>Imahl</t>
  </si>
  <si>
    <r>
      <t>I</t>
    </r>
    <r>
      <rPr>
        <vertAlign val="subscript"/>
        <sz val="10"/>
        <rFont val="Arial"/>
        <family val="2"/>
      </rPr>
      <t>out</t>
    </r>
  </si>
  <si>
    <t>Time 1 (0 V to Vin)</t>
  </si>
  <si>
    <t>Time 2 (Vin to Vclamp)</t>
  </si>
  <si>
    <t>Time 3 (Vclamp to Vin)</t>
  </si>
  <si>
    <t>Transformer capacitance</t>
  </si>
  <si>
    <t>Copyright, Semiconductor Component Industries, LLC, 2006</t>
  </si>
  <si>
    <t>max</t>
  </si>
  <si>
    <t>typ</t>
  </si>
  <si>
    <t>min</t>
  </si>
  <si>
    <t>Vov(H) (max)</t>
  </si>
  <si>
    <t>Vov(H) (typ)</t>
  </si>
  <si>
    <t>Vov(H) (min)</t>
  </si>
  <si>
    <t>Vov (max)</t>
  </si>
  <si>
    <t>Vov (typ)</t>
  </si>
  <si>
    <t>Vov (min)</t>
  </si>
  <si>
    <t>Vuv(H) (max)</t>
  </si>
  <si>
    <t>Vuv(H) (typ)</t>
  </si>
  <si>
    <t>Vuv(H) (min)</t>
  </si>
  <si>
    <t>Vuv (max)</t>
  </si>
  <si>
    <t>Vuv (typ)</t>
  </si>
  <si>
    <t>Vuv (min)</t>
  </si>
  <si>
    <r>
      <t>Recommended R2 (k</t>
    </r>
    <r>
      <rPr>
        <sz val="10"/>
        <rFont val="Symbol"/>
        <family val="1"/>
      </rPr>
      <t>W</t>
    </r>
    <r>
      <rPr>
        <sz val="10"/>
        <rFont val="Arial"/>
        <family val="0"/>
      </rPr>
      <t>)</t>
    </r>
  </si>
  <si>
    <r>
      <t>Recommended R1 (k</t>
    </r>
    <r>
      <rPr>
        <sz val="10"/>
        <rFont val="Symbol"/>
        <family val="1"/>
      </rPr>
      <t>W</t>
    </r>
    <r>
      <rPr>
        <sz val="10"/>
        <rFont val="Arial"/>
        <family val="0"/>
      </rPr>
      <t>)</t>
    </r>
  </si>
  <si>
    <t>Target Turn Off Voltage</t>
  </si>
  <si>
    <t>Target Turn ON Voltage</t>
  </si>
  <si>
    <r>
      <t>I</t>
    </r>
    <r>
      <rPr>
        <vertAlign val="subscript"/>
        <sz val="10"/>
        <rFont val="Arial"/>
        <family val="2"/>
      </rPr>
      <t>offset(uvov)</t>
    </r>
    <r>
      <rPr>
        <sz val="10"/>
        <rFont val="Arial"/>
        <family val="0"/>
      </rPr>
      <t xml:space="preserve"> (mA)</t>
    </r>
  </si>
  <si>
    <t>Step5 Spreadsheet</t>
  </si>
  <si>
    <t>Undervoltage</t>
  </si>
  <si>
    <t>turn ON</t>
  </si>
  <si>
    <t>turn OFF</t>
  </si>
  <si>
    <t>Overvoltage</t>
  </si>
  <si>
    <t>Power Dissipation</t>
  </si>
  <si>
    <t>Under and Overvoltage Divider</t>
  </si>
  <si>
    <t>Selected time Delay</t>
  </si>
  <si>
    <r>
      <t>R1 (k</t>
    </r>
    <r>
      <rPr>
        <b/>
        <sz val="10"/>
        <rFont val="Symbol"/>
        <family val="1"/>
      </rPr>
      <t>W</t>
    </r>
    <r>
      <rPr>
        <b/>
        <sz val="10"/>
        <rFont val="Arial"/>
        <family val="2"/>
      </rPr>
      <t>) =</t>
    </r>
  </si>
  <si>
    <r>
      <t>R2 (k</t>
    </r>
    <r>
      <rPr>
        <b/>
        <sz val="10"/>
        <rFont val="Symbol"/>
        <family val="1"/>
      </rPr>
      <t>W</t>
    </r>
    <r>
      <rPr>
        <b/>
        <sz val="10"/>
        <rFont val="Arial"/>
        <family val="2"/>
      </rPr>
      <t>) =</t>
    </r>
  </si>
  <si>
    <r>
      <t>V</t>
    </r>
    <r>
      <rPr>
        <vertAlign val="subscript"/>
        <sz val="10"/>
        <rFont val="Arial"/>
        <family val="2"/>
      </rPr>
      <t>REF</t>
    </r>
  </si>
  <si>
    <r>
      <t>I</t>
    </r>
    <r>
      <rPr>
        <vertAlign val="subscript"/>
        <sz val="10"/>
        <rFont val="Arial"/>
        <family val="2"/>
      </rPr>
      <t>RTCT</t>
    </r>
  </si>
  <si>
    <r>
      <t>V</t>
    </r>
    <r>
      <rPr>
        <vertAlign val="subscript"/>
        <sz val="10"/>
        <rFont val="Arial"/>
        <family val="2"/>
      </rPr>
      <t>RTCT(pk)</t>
    </r>
  </si>
  <si>
    <r>
      <t>V</t>
    </r>
    <r>
      <rPr>
        <vertAlign val="subscript"/>
        <sz val="10"/>
        <rFont val="Arial"/>
        <family val="2"/>
      </rPr>
      <t>RTCT(valley)</t>
    </r>
  </si>
  <si>
    <t>Step6 Spreadsheet</t>
  </si>
  <si>
    <r>
      <t>C</t>
    </r>
    <r>
      <rPr>
        <vertAlign val="subscript"/>
        <sz val="10"/>
        <rFont val="Arial"/>
        <family val="2"/>
      </rPr>
      <t>T</t>
    </r>
    <r>
      <rPr>
        <sz val="10"/>
        <rFont val="Arial"/>
        <family val="2"/>
      </rPr>
      <t xml:space="preserve"> (pF)</t>
    </r>
  </si>
  <si>
    <t>Concatenation for Legend of Frequecny vs Rt Graph</t>
  </si>
  <si>
    <r>
      <t>Pick 3 values of C</t>
    </r>
    <r>
      <rPr>
        <b/>
        <vertAlign val="subscript"/>
        <sz val="10"/>
        <rFont val="Arial"/>
        <family val="2"/>
      </rPr>
      <t>T</t>
    </r>
    <r>
      <rPr>
        <b/>
        <sz val="10"/>
        <rFont val="Arial"/>
        <family val="2"/>
      </rPr>
      <t xml:space="preserve"> to Plot</t>
    </r>
  </si>
  <si>
    <t>Instructions:</t>
  </si>
  <si>
    <t>Text 1:</t>
  </si>
  <si>
    <t>Concatenation:</t>
  </si>
  <si>
    <t>Text 2:</t>
  </si>
  <si>
    <t>Result:</t>
  </si>
  <si>
    <t xml:space="preserve">Select an RT to set an oscillator duty cycle of </t>
  </si>
  <si>
    <t>Feedforward</t>
  </si>
  <si>
    <r>
      <t>Select an R</t>
    </r>
    <r>
      <rPr>
        <vertAlign val="subscript"/>
        <sz val="10"/>
        <rFont val="Arial"/>
        <family val="2"/>
      </rPr>
      <t>T</t>
    </r>
    <r>
      <rPr>
        <sz val="10"/>
        <rFont val="Arial"/>
        <family val="0"/>
      </rPr>
      <t xml:space="preserve"> that sets an oscillator duty cycle equivalent to the converter on time plus the overlap time delay as suggested in the yellow box. Then, type in 3 CT values to plot the frequency vs RT response. </t>
    </r>
  </si>
  <si>
    <t>mA</t>
  </si>
  <si>
    <t>Target volt-second limit</t>
  </si>
  <si>
    <r>
      <t>k</t>
    </r>
    <r>
      <rPr>
        <sz val="10"/>
        <rFont val="Symbol"/>
        <family val="1"/>
      </rPr>
      <t>W</t>
    </r>
  </si>
  <si>
    <t>V-us</t>
  </si>
  <si>
    <r>
      <t>Suggested R</t>
    </r>
    <r>
      <rPr>
        <vertAlign val="subscript"/>
        <sz val="10"/>
        <rFont val="Arial"/>
        <family val="2"/>
      </rPr>
      <t>FF</t>
    </r>
  </si>
  <si>
    <r>
      <t>Suggested C</t>
    </r>
    <r>
      <rPr>
        <vertAlign val="subscript"/>
        <sz val="10"/>
        <rFont val="Arial"/>
        <family val="2"/>
      </rPr>
      <t>FF</t>
    </r>
  </si>
  <si>
    <r>
      <t>R</t>
    </r>
    <r>
      <rPr>
        <vertAlign val="subscript"/>
        <sz val="10"/>
        <rFont val="Arial"/>
        <family val="2"/>
      </rPr>
      <t>FF</t>
    </r>
    <r>
      <rPr>
        <sz val="10"/>
        <rFont val="Arial"/>
        <family val="0"/>
      </rPr>
      <t xml:space="preserve"> Power</t>
    </r>
  </si>
  <si>
    <t>W</t>
  </si>
  <si>
    <t>mW</t>
  </si>
  <si>
    <t>Value</t>
  </si>
  <si>
    <r>
      <t>Suggested R</t>
    </r>
    <r>
      <rPr>
        <vertAlign val="subscript"/>
        <sz val="10"/>
        <rFont val="Arial"/>
        <family val="2"/>
      </rPr>
      <t>sense</t>
    </r>
  </si>
  <si>
    <t>Rsense power dissipation</t>
  </si>
  <si>
    <t>Current sense</t>
  </si>
  <si>
    <t>Device Used:</t>
  </si>
  <si>
    <t>Current Limit (mV)</t>
  </si>
  <si>
    <t>Input Cell:</t>
  </si>
  <si>
    <t>Result Cell:</t>
  </si>
  <si>
    <t xml:space="preserve">All input fields have a purple background. This tool will calculate most of the required component values. Yellow cells provide calculation results. In some instances, the user has an option to override the suggested value. </t>
  </si>
  <si>
    <t xml:space="preserve">The Active Clamp topology facilitates soft switching of the main switch. Soft or zero volt switching (ZVS) is achieved if the energy stored in the magnetizing and leakage inductances (Lres) exceed the energy stored on the drain node (CD) of the main switch. The tool below calculates Lres and CD at a given voltage given the user inputs. If the energy in Lres exceeds the one in CD, you can expect the drain to reach that voltage at turn on. </t>
  </si>
  <si>
    <t>In addition, the tool below allows you to select the active clamp capacitor (Cclamp) given a voltage ripple and flux excursion. As a rule of thumb, Cclamp is selected to limit the flux excursion to 2 or 3 times the nominal flux.</t>
  </si>
  <si>
    <t>Low Line Discontinuous Current</t>
  </si>
  <si>
    <t>Minimum Voltage Rating</t>
  </si>
  <si>
    <t>Discontinuous current at low line (A)</t>
  </si>
  <si>
    <t>Discontinuous current at high line (A)</t>
  </si>
  <si>
    <t>Auxiliary Supply</t>
  </si>
  <si>
    <t>Controller Bias Current</t>
  </si>
  <si>
    <t>Additional Bias Current</t>
  </si>
  <si>
    <t>Switching Bias Current</t>
  </si>
  <si>
    <t>Total Bias Current</t>
  </si>
  <si>
    <t>Component Selection</t>
  </si>
  <si>
    <t>Override Inductor Value</t>
  </si>
  <si>
    <t>Step7 Spreadsheet</t>
  </si>
  <si>
    <t>Target Auxiliary Voltage</t>
  </si>
  <si>
    <t>Suggested Auxiliary Turns</t>
  </si>
  <si>
    <t>Override Auxiliary Turns</t>
  </si>
  <si>
    <t>Auxiliary Voltage</t>
  </si>
  <si>
    <t>Suggested Lout</t>
  </si>
  <si>
    <t>uH</t>
  </si>
  <si>
    <t>Suggested Naux</t>
  </si>
  <si>
    <t>Secondary Turns</t>
  </si>
  <si>
    <t>Minimum Inductor Value</t>
  </si>
  <si>
    <t>Maximum Ripple Current</t>
  </si>
  <si>
    <t>Max Ripple Current</t>
  </si>
  <si>
    <t>Iaux Valley</t>
  </si>
  <si>
    <t>Main Switch turn on/off transition</t>
  </si>
  <si>
    <t>Main Switch Total Gate Charge</t>
  </si>
  <si>
    <t>Active Clamp Switch Gate Charge</t>
  </si>
  <si>
    <t>Cycle Skip</t>
  </si>
  <si>
    <r>
      <t>m</t>
    </r>
    <r>
      <rPr>
        <sz val="10"/>
        <rFont val="Arial"/>
        <family val="0"/>
      </rPr>
      <t>s</t>
    </r>
  </si>
  <si>
    <t>Cycle skip I charge</t>
  </si>
  <si>
    <t>Cycle skip I discharge</t>
  </si>
  <si>
    <t>uA</t>
  </si>
  <si>
    <t>Soft-Start/Stop</t>
  </si>
  <si>
    <t>Override Cycle Skip Capacitor</t>
  </si>
  <si>
    <t>Suggested Cycle Skip Capacitor</t>
  </si>
  <si>
    <t>Suggested Soft-Start/Stop Capacitor</t>
  </si>
  <si>
    <t>Override Soft-Start/Stop Capacitor</t>
  </si>
  <si>
    <t>Soft start I charge</t>
  </si>
  <si>
    <t>Soft start I discharge</t>
  </si>
  <si>
    <t>Soft stop time LL</t>
  </si>
  <si>
    <t>Soft stop time HL</t>
  </si>
  <si>
    <r>
      <t>R</t>
    </r>
    <r>
      <rPr>
        <vertAlign val="subscript"/>
        <sz val="10"/>
        <rFont val="Arial"/>
        <family val="2"/>
      </rPr>
      <t>1</t>
    </r>
  </si>
  <si>
    <r>
      <t>R</t>
    </r>
    <r>
      <rPr>
        <vertAlign val="subscript"/>
        <sz val="10"/>
        <rFont val="Arial"/>
        <family val="2"/>
      </rPr>
      <t>2</t>
    </r>
  </si>
  <si>
    <r>
      <t>R</t>
    </r>
    <r>
      <rPr>
        <vertAlign val="subscript"/>
        <sz val="10"/>
        <rFont val="Arial"/>
        <family val="2"/>
      </rPr>
      <t>3</t>
    </r>
  </si>
  <si>
    <r>
      <t>C</t>
    </r>
    <r>
      <rPr>
        <vertAlign val="subscript"/>
        <sz val="10"/>
        <rFont val="Arial"/>
        <family val="2"/>
      </rPr>
      <t>1</t>
    </r>
  </si>
  <si>
    <r>
      <t>C</t>
    </r>
    <r>
      <rPr>
        <vertAlign val="subscript"/>
        <sz val="10"/>
        <rFont val="Arial"/>
        <family val="2"/>
      </rPr>
      <t>2</t>
    </r>
  </si>
  <si>
    <r>
      <t>m</t>
    </r>
    <r>
      <rPr>
        <sz val="10"/>
        <rFont val="Arial"/>
        <family val="0"/>
      </rPr>
      <t>F</t>
    </r>
  </si>
  <si>
    <r>
      <t>R</t>
    </r>
    <r>
      <rPr>
        <vertAlign val="subscript"/>
        <sz val="10"/>
        <rFont val="Arial"/>
        <family val="2"/>
      </rPr>
      <t>EA</t>
    </r>
  </si>
  <si>
    <t>Hz</t>
  </si>
  <si>
    <r>
      <t>f</t>
    </r>
    <r>
      <rPr>
        <vertAlign val="subscript"/>
        <sz val="10"/>
        <rFont val="Arial"/>
        <family val="2"/>
      </rPr>
      <t>P0</t>
    </r>
  </si>
  <si>
    <r>
      <t>f</t>
    </r>
    <r>
      <rPr>
        <vertAlign val="subscript"/>
        <sz val="10"/>
        <rFont val="Arial"/>
        <family val="2"/>
      </rPr>
      <t>P1</t>
    </r>
  </si>
  <si>
    <r>
      <t>f</t>
    </r>
    <r>
      <rPr>
        <vertAlign val="subscript"/>
        <sz val="10"/>
        <rFont val="Arial"/>
        <family val="2"/>
      </rPr>
      <t>Z1</t>
    </r>
  </si>
  <si>
    <r>
      <t>f</t>
    </r>
    <r>
      <rPr>
        <vertAlign val="subscript"/>
        <sz val="10"/>
        <rFont val="Arial"/>
        <family val="2"/>
      </rPr>
      <t>Z2</t>
    </r>
  </si>
  <si>
    <r>
      <t>f</t>
    </r>
    <r>
      <rPr>
        <vertAlign val="subscript"/>
        <sz val="10"/>
        <rFont val="Arial"/>
        <family val="2"/>
      </rPr>
      <t>LC</t>
    </r>
  </si>
  <si>
    <t>°</t>
  </si>
  <si>
    <r>
      <t>f</t>
    </r>
    <r>
      <rPr>
        <vertAlign val="subscript"/>
        <sz val="10"/>
        <rFont val="Arial"/>
        <family val="2"/>
      </rPr>
      <t>CO</t>
    </r>
  </si>
  <si>
    <r>
      <t>f</t>
    </r>
    <r>
      <rPr>
        <sz val="10"/>
        <rFont val="Arial"/>
        <family val="0"/>
      </rPr>
      <t>m</t>
    </r>
  </si>
  <si>
    <t>Min. Frequency</t>
  </si>
  <si>
    <t>Max. Frequency</t>
  </si>
  <si>
    <t>Opto Resistor</t>
  </si>
  <si>
    <t>Opto CTR</t>
  </si>
  <si>
    <t>Opto Pole</t>
  </si>
  <si>
    <r>
      <t>f</t>
    </r>
    <r>
      <rPr>
        <vertAlign val="subscript"/>
        <sz val="10"/>
        <rFont val="Arial"/>
        <family val="2"/>
      </rPr>
      <t>ZESR</t>
    </r>
  </si>
  <si>
    <t>System Stability</t>
  </si>
  <si>
    <t>Compensation Components</t>
  </si>
  <si>
    <t>Compensation</t>
  </si>
  <si>
    <r>
      <t>R</t>
    </r>
    <r>
      <rPr>
        <vertAlign val="subscript"/>
        <sz val="10"/>
        <rFont val="Arial"/>
        <family val="2"/>
      </rPr>
      <t>ESR</t>
    </r>
  </si>
  <si>
    <r>
      <t>R</t>
    </r>
    <r>
      <rPr>
        <vertAlign val="subscript"/>
        <sz val="10"/>
        <rFont val="Arial"/>
        <family val="2"/>
      </rPr>
      <t>out</t>
    </r>
  </si>
  <si>
    <r>
      <t>Gain</t>
    </r>
    <r>
      <rPr>
        <vertAlign val="subscript"/>
        <sz val="10"/>
        <rFont val="Arial"/>
        <family val="2"/>
      </rPr>
      <t>opto</t>
    </r>
  </si>
  <si>
    <t>dB</t>
  </si>
  <si>
    <r>
      <t>Gain</t>
    </r>
    <r>
      <rPr>
        <vertAlign val="subscript"/>
        <sz val="10"/>
        <rFont val="Arial"/>
        <family val="2"/>
      </rPr>
      <t>PWM</t>
    </r>
  </si>
  <si>
    <r>
      <t>f</t>
    </r>
    <r>
      <rPr>
        <vertAlign val="subscript"/>
        <sz val="10"/>
        <rFont val="Arial"/>
        <family val="2"/>
      </rPr>
      <t>RHPzeroLL</t>
    </r>
  </si>
  <si>
    <t>Step 9: Bill of Materials</t>
  </si>
  <si>
    <t>C1</t>
  </si>
  <si>
    <t>Part Number</t>
  </si>
  <si>
    <t>Vendor</t>
  </si>
  <si>
    <t>Comments</t>
  </si>
  <si>
    <t>Designator</t>
  </si>
  <si>
    <t>C2</t>
  </si>
  <si>
    <t>C3</t>
  </si>
  <si>
    <t>C4</t>
  </si>
  <si>
    <t>C5</t>
  </si>
  <si>
    <t>C6</t>
  </si>
  <si>
    <t>C7</t>
  </si>
  <si>
    <t>C8</t>
  </si>
  <si>
    <t>C9</t>
  </si>
  <si>
    <t>C10</t>
  </si>
  <si>
    <t>C11</t>
  </si>
  <si>
    <t>C12</t>
  </si>
  <si>
    <t>C13</t>
  </si>
  <si>
    <t>C14</t>
  </si>
  <si>
    <t>C15</t>
  </si>
  <si>
    <t>C16</t>
  </si>
  <si>
    <t>C17</t>
  </si>
  <si>
    <t>C18</t>
  </si>
  <si>
    <t>R1</t>
  </si>
  <si>
    <t>R2</t>
  </si>
  <si>
    <t>R3</t>
  </si>
  <si>
    <t>R5</t>
  </si>
  <si>
    <t>R6</t>
  </si>
  <si>
    <t>R7</t>
  </si>
  <si>
    <t>R8</t>
  </si>
  <si>
    <t>R9</t>
  </si>
  <si>
    <t>R10</t>
  </si>
  <si>
    <t>R11</t>
  </si>
  <si>
    <t>R12</t>
  </si>
  <si>
    <t>R13</t>
  </si>
  <si>
    <t>R14</t>
  </si>
  <si>
    <t>R15</t>
  </si>
  <si>
    <t>R16</t>
  </si>
  <si>
    <t>R17</t>
  </si>
  <si>
    <t>R18</t>
  </si>
  <si>
    <t>R19</t>
  </si>
  <si>
    <t>R20</t>
  </si>
  <si>
    <t>R21</t>
  </si>
  <si>
    <t>R22</t>
  </si>
  <si>
    <t>R23</t>
  </si>
  <si>
    <t>R24</t>
  </si>
  <si>
    <t>R25</t>
  </si>
  <si>
    <t>D1</t>
  </si>
  <si>
    <t>D2-D7</t>
  </si>
  <si>
    <t>U1</t>
  </si>
  <si>
    <t>U2</t>
  </si>
  <si>
    <t>U3</t>
  </si>
  <si>
    <t>X1</t>
  </si>
  <si>
    <t>X2</t>
  </si>
  <si>
    <t>X3</t>
  </si>
  <si>
    <t>X4</t>
  </si>
  <si>
    <t>Q1</t>
  </si>
  <si>
    <t>L1</t>
  </si>
  <si>
    <t>L2</t>
  </si>
  <si>
    <t>L3</t>
  </si>
  <si>
    <t>U4</t>
  </si>
  <si>
    <t>ON Semiconductor</t>
  </si>
  <si>
    <t>General purpose npn transistor</t>
  </si>
  <si>
    <t>Dual General purpose OpAmp</t>
  </si>
  <si>
    <t>General purpose diode</t>
  </si>
  <si>
    <t>TLV431</t>
  </si>
  <si>
    <r>
      <t>Selected R</t>
    </r>
    <r>
      <rPr>
        <vertAlign val="subscript"/>
        <sz val="10"/>
        <rFont val="Arial"/>
        <family val="2"/>
      </rPr>
      <t>T</t>
    </r>
  </si>
  <si>
    <r>
      <t>Selected C</t>
    </r>
    <r>
      <rPr>
        <vertAlign val="subscript"/>
        <sz val="10"/>
        <rFont val="Arial"/>
        <family val="2"/>
      </rPr>
      <t>T</t>
    </r>
  </si>
  <si>
    <t>0.01 uF</t>
  </si>
  <si>
    <t>0.1 uF</t>
  </si>
  <si>
    <t>nF</t>
  </si>
  <si>
    <t>12.1k</t>
  </si>
  <si>
    <t>5.11k</t>
  </si>
  <si>
    <t>10 k</t>
  </si>
  <si>
    <t>20 k</t>
  </si>
  <si>
    <t>LM258</t>
  </si>
  <si>
    <t>MMSD914</t>
  </si>
  <si>
    <t>MBRM120E</t>
  </si>
  <si>
    <t>User Comments</t>
  </si>
  <si>
    <t>Schottky Diode, 2 Amps</t>
  </si>
  <si>
    <t>Active Clamp Controller</t>
  </si>
  <si>
    <t>BC817</t>
  </si>
  <si>
    <t>Optocoupler</t>
  </si>
  <si>
    <t>&gt; 22uF</t>
  </si>
  <si>
    <t>Safety Capacitor</t>
  </si>
  <si>
    <t>Refer to TLV431 datasheet</t>
  </si>
  <si>
    <t>Start somewhere between 2 and 5 Ohms</t>
  </si>
  <si>
    <t>BOM Spreadsheet</t>
  </si>
  <si>
    <t>TLV431 Ref voltage</t>
  </si>
  <si>
    <t>Rbias</t>
  </si>
  <si>
    <t>Ohms</t>
  </si>
  <si>
    <t>IbiasR25</t>
  </si>
  <si>
    <t>Vnode</t>
  </si>
  <si>
    <t>kOhms</t>
  </si>
  <si>
    <t>Use 10 to 40 Ohms if needed</t>
  </si>
  <si>
    <t>If needed, use a few hundred Ohms</t>
  </si>
  <si>
    <t>uF</t>
  </si>
  <si>
    <t>Vripple</t>
  </si>
  <si>
    <t>Rgs Pchannel</t>
  </si>
  <si>
    <t>Target Input Voltage Ripple</t>
  </si>
  <si>
    <t>Step 4: Output Capacitance and Synchronous Rectification (Self Driven)</t>
  </si>
  <si>
    <t>Step 5: Active Clamp Stage and Soft Switching</t>
  </si>
  <si>
    <t>Step 6: NCP1562 components (UVOV, FF, CS)</t>
  </si>
  <si>
    <t>Step 7: NCP1562 components (Oscillator)</t>
  </si>
  <si>
    <t>Step 9: Loop Response</t>
  </si>
  <si>
    <t>Step 3: Input Filter</t>
  </si>
  <si>
    <t>Step8 Spreadsheet</t>
  </si>
  <si>
    <t>Zin</t>
  </si>
  <si>
    <t>f</t>
  </si>
  <si>
    <t>Deltalog</t>
  </si>
  <si>
    <t>Index</t>
  </si>
  <si>
    <t>mininum f</t>
  </si>
  <si>
    <t>maximum f</t>
  </si>
  <si>
    <t>ESR</t>
  </si>
  <si>
    <t>ESL</t>
  </si>
  <si>
    <t>L</t>
  </si>
  <si>
    <t>C</t>
  </si>
  <si>
    <r>
      <t>m</t>
    </r>
    <r>
      <rPr>
        <sz val="10"/>
        <rFont val="Arial"/>
        <family val="2"/>
      </rPr>
      <t>H</t>
    </r>
  </si>
  <si>
    <t>NumReal</t>
  </si>
  <si>
    <t>DenReal</t>
  </si>
  <si>
    <t>DenImag</t>
  </si>
  <si>
    <t>NumImag</t>
  </si>
  <si>
    <t>MagNum</t>
  </si>
  <si>
    <t>MagDen</t>
  </si>
  <si>
    <t>ZLC dB</t>
  </si>
  <si>
    <t>Efficiency</t>
  </si>
  <si>
    <t>ESR of Input Capacitors</t>
  </si>
  <si>
    <t>Input Inductance</t>
  </si>
  <si>
    <t>Inductor Series Resistance</t>
  </si>
  <si>
    <t>R4</t>
  </si>
  <si>
    <t>Use a few hundred pF if needed.</t>
  </si>
  <si>
    <t>Suggested Input Capacitance</t>
  </si>
  <si>
    <t>Used Input Capacitance</t>
  </si>
  <si>
    <t>Average Inductor Current</t>
  </si>
  <si>
    <t>Capacitor Ripple Current</t>
  </si>
  <si>
    <t>Allowed Capacitor Max. ESR</t>
  </si>
  <si>
    <t>Current Limit Threshold</t>
  </si>
  <si>
    <t>Maximum ESR</t>
  </si>
  <si>
    <r>
      <t>I</t>
    </r>
    <r>
      <rPr>
        <vertAlign val="subscript"/>
        <sz val="10"/>
        <rFont val="Arial"/>
        <family val="2"/>
      </rPr>
      <t>D1(rms_ll)</t>
    </r>
  </si>
  <si>
    <r>
      <t>I</t>
    </r>
    <r>
      <rPr>
        <vertAlign val="subscript"/>
        <sz val="10"/>
        <rFont val="Arial"/>
        <family val="2"/>
      </rPr>
      <t>D2(rms_ll)</t>
    </r>
  </si>
  <si>
    <r>
      <t>I</t>
    </r>
    <r>
      <rPr>
        <vertAlign val="subscript"/>
        <sz val="10"/>
        <rFont val="Arial"/>
        <family val="2"/>
      </rPr>
      <t>D1(rms_hl)</t>
    </r>
  </si>
  <si>
    <r>
      <t>I</t>
    </r>
    <r>
      <rPr>
        <vertAlign val="subscript"/>
        <sz val="10"/>
        <rFont val="Arial"/>
        <family val="2"/>
      </rPr>
      <t>D2(rms_hl)</t>
    </r>
  </si>
  <si>
    <t>Maximum Gate Voltage</t>
  </si>
  <si>
    <r>
      <t>R</t>
    </r>
    <r>
      <rPr>
        <vertAlign val="subscript"/>
        <sz val="10"/>
        <rFont val="Arial"/>
        <family val="2"/>
      </rPr>
      <t>DS(on)</t>
    </r>
  </si>
  <si>
    <r>
      <t>Q</t>
    </r>
    <r>
      <rPr>
        <vertAlign val="subscript"/>
        <sz val="10"/>
        <rFont val="Arial"/>
        <family val="2"/>
      </rPr>
      <t>gate</t>
    </r>
  </si>
  <si>
    <r>
      <t>Q</t>
    </r>
    <r>
      <rPr>
        <vertAlign val="subscript"/>
        <sz val="10"/>
        <rFont val="Arial"/>
        <family val="2"/>
      </rPr>
      <t>rr</t>
    </r>
  </si>
  <si>
    <r>
      <t>V</t>
    </r>
    <r>
      <rPr>
        <vertAlign val="subscript"/>
        <sz val="10"/>
        <rFont val="Arial"/>
        <family val="2"/>
      </rPr>
      <t>bd</t>
    </r>
  </si>
  <si>
    <r>
      <t>t</t>
    </r>
    <r>
      <rPr>
        <vertAlign val="subscript"/>
        <sz val="10"/>
        <rFont val="Arial"/>
        <family val="2"/>
      </rPr>
      <t>D</t>
    </r>
  </si>
  <si>
    <r>
      <t>Selected C</t>
    </r>
    <r>
      <rPr>
        <vertAlign val="subscript"/>
        <sz val="10"/>
        <rFont val="Arial"/>
        <family val="2"/>
      </rPr>
      <t>FF</t>
    </r>
  </si>
  <si>
    <r>
      <t>Selected R</t>
    </r>
    <r>
      <rPr>
        <vertAlign val="subscript"/>
        <sz val="10"/>
        <rFont val="Arial"/>
        <family val="2"/>
      </rPr>
      <t>FF</t>
    </r>
  </si>
  <si>
    <r>
      <t>New Suggested C</t>
    </r>
    <r>
      <rPr>
        <vertAlign val="subscript"/>
        <sz val="10"/>
        <rFont val="Arial"/>
        <family val="2"/>
      </rPr>
      <t>FF</t>
    </r>
  </si>
  <si>
    <t>Max FF charge current</t>
  </si>
  <si>
    <t>Suggested Turns Ratio</t>
  </si>
  <si>
    <t>This spreadsheet is provided for guidance purposes only. It is believed to be accurate. However, the user is responsible for verifying all suggested values provided by this tool.</t>
  </si>
  <si>
    <r>
      <t>Main Switch V</t>
    </r>
    <r>
      <rPr>
        <vertAlign val="subscript"/>
        <sz val="10"/>
        <rFont val="Arial"/>
        <family val="2"/>
      </rPr>
      <t>DS</t>
    </r>
    <r>
      <rPr>
        <sz val="10"/>
        <rFont val="Arial"/>
        <family val="2"/>
      </rPr>
      <t xml:space="preserve"> Rating</t>
    </r>
  </si>
  <si>
    <t>Selected Output Inductor</t>
  </si>
  <si>
    <t>Desired output voltage ripple</t>
  </si>
  <si>
    <r>
      <t>Output Capacitance (C</t>
    </r>
    <r>
      <rPr>
        <b/>
        <vertAlign val="subscript"/>
        <sz val="10"/>
        <rFont val="Arial"/>
        <family val="2"/>
      </rPr>
      <t>out</t>
    </r>
    <r>
      <rPr>
        <b/>
        <sz val="10"/>
        <rFont val="Arial"/>
        <family val="2"/>
      </rPr>
      <t>)</t>
    </r>
  </si>
  <si>
    <r>
      <t>Minimum C</t>
    </r>
    <r>
      <rPr>
        <vertAlign val="subscript"/>
        <sz val="10"/>
        <rFont val="Arial"/>
        <family val="2"/>
      </rPr>
      <t>out</t>
    </r>
  </si>
  <si>
    <r>
      <t>Selected C</t>
    </r>
    <r>
      <rPr>
        <vertAlign val="subscript"/>
        <sz val="10"/>
        <rFont val="Arial"/>
        <family val="2"/>
      </rPr>
      <t>out</t>
    </r>
  </si>
  <si>
    <t>Maximum Drain Voltage</t>
  </si>
  <si>
    <t>Minimum Gate Voltage</t>
  </si>
  <si>
    <t>Absolute Max. Gate Voltage</t>
  </si>
  <si>
    <t>Clamp capacitor Used</t>
  </si>
  <si>
    <r>
      <t>Clamp Capacitor (C</t>
    </r>
    <r>
      <rPr>
        <b/>
        <vertAlign val="subscript"/>
        <sz val="10"/>
        <rFont val="Arial"/>
        <family val="2"/>
      </rPr>
      <t>clamp</t>
    </r>
    <r>
      <rPr>
        <b/>
        <sz val="10"/>
        <rFont val="Arial"/>
        <family val="2"/>
      </rPr>
      <t>) range to plot</t>
    </r>
  </si>
  <si>
    <t>Feedforward Current</t>
  </si>
  <si>
    <t>Desired Cycle Skip Time</t>
  </si>
  <si>
    <t>Disable Time</t>
  </si>
  <si>
    <t>Current Limit Pulses</t>
  </si>
  <si>
    <t>Desired Soft-Start Time</t>
  </si>
  <si>
    <t>Soft-Stop Time (Low Line)</t>
  </si>
  <si>
    <t>Soft-Stop Time (High Line)</t>
  </si>
  <si>
    <t>High Line Discontinuous Current</t>
  </si>
  <si>
    <t>Min. DC (High line)</t>
  </si>
  <si>
    <t>Max. DC (Low line)</t>
  </si>
  <si>
    <r>
      <t>High Line Ipri</t>
    </r>
    <r>
      <rPr>
        <vertAlign val="subscript"/>
        <sz val="10"/>
        <rFont val="Arial"/>
        <family val="2"/>
      </rPr>
      <t>(rms1)</t>
    </r>
  </si>
  <si>
    <r>
      <t>Low Line Ipri</t>
    </r>
    <r>
      <rPr>
        <vertAlign val="subscript"/>
        <sz val="10"/>
        <rFont val="Arial"/>
        <family val="2"/>
      </rPr>
      <t>(rms2)</t>
    </r>
  </si>
  <si>
    <t>Low Line valley current</t>
  </si>
  <si>
    <t>Low Line peak current</t>
  </si>
  <si>
    <t>High Line valley current</t>
  </si>
  <si>
    <t>High Line peak current</t>
  </si>
  <si>
    <t>Low Line RMS Current</t>
  </si>
  <si>
    <t>High Line RMS Current</t>
  </si>
  <si>
    <t>Delta</t>
  </si>
  <si>
    <t>Target Efficiency</t>
  </si>
  <si>
    <t>Step3 Spreadsheet</t>
  </si>
  <si>
    <t>Vclamp (V)</t>
  </si>
  <si>
    <t>Main Switch turn on time</t>
  </si>
  <si>
    <t>Low Line Losses</t>
  </si>
  <si>
    <t>High Line Losses</t>
  </si>
  <si>
    <t>Low Line Conduction Losses</t>
  </si>
  <si>
    <t>Low Line Switching Losses</t>
  </si>
  <si>
    <t>High Line Conduction Losses</t>
  </si>
  <si>
    <t>High Line Switching Losses</t>
  </si>
  <si>
    <t>Main Switch Losses</t>
  </si>
  <si>
    <t>R26</t>
  </si>
  <si>
    <t>R27</t>
  </si>
  <si>
    <t>R28</t>
  </si>
  <si>
    <t>R29</t>
  </si>
  <si>
    <t>Step 8: Auxiliary Supply, Cycle Skip, Soft-Start and Error Amplifier Reference</t>
  </si>
  <si>
    <t>Bias current across R27</t>
  </si>
  <si>
    <t>Reference Voltage</t>
  </si>
  <si>
    <r>
      <t>m</t>
    </r>
    <r>
      <rPr>
        <sz val="10"/>
        <rFont val="Arial"/>
        <family val="0"/>
      </rPr>
      <t>A</t>
    </r>
  </si>
  <si>
    <t>ms</t>
  </si>
  <si>
    <t>Error Amplifier Reference (U4)</t>
  </si>
  <si>
    <t>Start with 20 k. Should not be too large to divert current from U4.</t>
  </si>
  <si>
    <t>Start with 2 times R25.</t>
  </si>
  <si>
    <t>C19</t>
  </si>
  <si>
    <t>C19 is chosen with R28 to achieve 2 time constants of the soft-start time.</t>
  </si>
  <si>
    <t>See NCP1562 Datasheet</t>
  </si>
  <si>
    <t>PS2703</t>
  </si>
  <si>
    <t>NEC</t>
  </si>
  <si>
    <t>Imag</t>
  </si>
  <si>
    <t>Ipri(valley) (I1)</t>
  </si>
  <si>
    <t>Lout Iripple</t>
  </si>
  <si>
    <t>Ipri(pk) (I2)</t>
  </si>
  <si>
    <t>ton</t>
  </si>
  <si>
    <t>toff</t>
  </si>
  <si>
    <t>T</t>
  </si>
  <si>
    <t>Rev 1</t>
  </si>
  <si>
    <t>Rev 1.1</t>
  </si>
  <si>
    <t>Revision:</t>
  </si>
  <si>
    <t>Changes:</t>
  </si>
  <si>
    <t>Orignal release</t>
  </si>
  <si>
    <t>Date:</t>
  </si>
  <si>
    <r>
      <t>f</t>
    </r>
    <r>
      <rPr>
        <vertAlign val="subscript"/>
        <sz val="10"/>
        <rFont val="Arial"/>
        <family val="2"/>
      </rPr>
      <t>RHPzeroHL</t>
    </r>
  </si>
  <si>
    <r>
      <t>Clamp Capacitor I</t>
    </r>
    <r>
      <rPr>
        <b/>
        <vertAlign val="subscript"/>
        <sz val="10"/>
        <rFont val="Arial"/>
        <family val="2"/>
      </rPr>
      <t>RMS</t>
    </r>
    <r>
      <rPr>
        <b/>
        <sz val="10"/>
        <rFont val="Arial"/>
        <family val="2"/>
      </rPr>
      <t xml:space="preserve"> at Low Line (A)</t>
    </r>
  </si>
  <si>
    <r>
      <t>Clamp Capacitor I</t>
    </r>
    <r>
      <rPr>
        <b/>
        <vertAlign val="subscript"/>
        <sz val="10"/>
        <rFont val="Arial"/>
        <family val="2"/>
      </rPr>
      <t>RMS</t>
    </r>
    <r>
      <rPr>
        <b/>
        <sz val="10"/>
        <rFont val="Arial"/>
        <family val="2"/>
      </rPr>
      <t xml:space="preserve"> at High Line (A)</t>
    </r>
  </si>
  <si>
    <t>Clamp Capacitor Ratings</t>
  </si>
  <si>
    <t>RMS Current (at High Line)</t>
  </si>
  <si>
    <t>Submitter:</t>
  </si>
  <si>
    <t>JCP</t>
  </si>
  <si>
    <t>Term1</t>
  </si>
  <si>
    <t>Term2</t>
  </si>
  <si>
    <t>Capacitor RMS current</t>
  </si>
  <si>
    <t>Icap(rms) (A)</t>
  </si>
  <si>
    <t>Freewheeling MOSFET</t>
  </si>
  <si>
    <t>1. Added Revision History Sheet
2. Corrected label for RHP zero on Step 9
3. Replaced active clamp capacitor peak with RMS current.
4. Minimum and maximum gate voltage is now a min or max from the forward or freewheeling MOSFETs data set instead of a single calculation.</t>
  </si>
  <si>
    <t>Soft start time</t>
  </si>
  <si>
    <t>Soft-Start Time (Calculated)</t>
  </si>
  <si>
    <t>Forward MOSFET</t>
  </si>
  <si>
    <t>Rev 1.3</t>
  </si>
  <si>
    <t>1. Changed Cell Colors
2. Changed Labels of Graphs in Step 4
3. Changed units of Clamp Capacitor rms current</t>
  </si>
  <si>
    <t>Rev. 2</t>
  </si>
  <si>
    <t>Magnetizing Inductance (from Step2)</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</si>
</sst>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00"/>
    <numFmt numFmtId="168" formatCode="0.00\ \V"/>
    <numFmt numFmtId="169" formatCode="0\ \u\A"/>
    <numFmt numFmtId="170" formatCode="0\ \p\F"/>
    <numFmt numFmtId="171" formatCode="0.0\ \p\F"/>
    <numFmt numFmtId="172" formatCode="0.000\ \u\F"/>
    <numFmt numFmtId="173" formatCode="0\ \u\F"/>
    <numFmt numFmtId="174" formatCode="0.0\ \k"/>
    <numFmt numFmtId="175" formatCode="0.00\ \k"/>
    <numFmt numFmtId="176" formatCode="&quot;$&quot;#,##0.00"/>
    <numFmt numFmtId="177" formatCode="0.0\ \u\F"/>
    <numFmt numFmtId="178" formatCode="0.000000000000000"/>
  </numFmts>
  <fonts count="40">
    <font>
      <sz val="10"/>
      <name val="Arial"/>
      <family val="0"/>
    </font>
    <font>
      <sz val="8"/>
      <name val="Arial"/>
      <family val="0"/>
    </font>
    <font>
      <u val="single"/>
      <sz val="8.5"/>
      <color indexed="12"/>
      <name val="Arial"/>
      <family val="0"/>
    </font>
    <font>
      <u val="single"/>
      <sz val="8.5"/>
      <color indexed="36"/>
      <name val="Arial"/>
      <family val="0"/>
    </font>
    <font>
      <vertAlign val="subscript"/>
      <sz val="10"/>
      <name val="Arial"/>
      <family val="2"/>
    </font>
    <font>
      <b/>
      <sz val="10"/>
      <name val="Arial"/>
      <family val="2"/>
    </font>
    <font>
      <b/>
      <sz val="8.75"/>
      <name val="Arial"/>
      <family val="0"/>
    </font>
    <font>
      <b/>
      <sz val="8"/>
      <name val="Arial"/>
      <family val="0"/>
    </font>
    <font>
      <b/>
      <vertAlign val="subscript"/>
      <sz val="8"/>
      <name val="Arial"/>
      <family val="2"/>
    </font>
    <font>
      <b/>
      <sz val="12"/>
      <name val="Arial"/>
      <family val="2"/>
    </font>
    <font>
      <sz val="8.75"/>
      <name val="Arial"/>
      <family val="2"/>
    </font>
    <font>
      <sz val="10"/>
      <name val="Symbol"/>
      <family val="1"/>
    </font>
    <font>
      <sz val="8"/>
      <name val="Tahoma"/>
      <family val="0"/>
    </font>
    <font>
      <b/>
      <sz val="8"/>
      <name val="Tahoma"/>
      <family val="0"/>
    </font>
    <font>
      <b/>
      <sz val="14"/>
      <name val="Arial"/>
      <family val="2"/>
    </font>
    <font>
      <b/>
      <sz val="16"/>
      <name val="Arial"/>
      <family val="2"/>
    </font>
    <font>
      <b/>
      <sz val="10"/>
      <name val="Symbol"/>
      <family val="1"/>
    </font>
    <font>
      <b/>
      <vertAlign val="subscript"/>
      <sz val="8.75"/>
      <name val="Arial"/>
      <family val="2"/>
    </font>
    <font>
      <u val="single"/>
      <sz val="10"/>
      <color indexed="12"/>
      <name val="Arial"/>
      <family val="0"/>
    </font>
    <font>
      <sz val="9"/>
      <name val="Arial"/>
      <family val="0"/>
    </font>
    <font>
      <b/>
      <sz val="9"/>
      <name val="Arial"/>
      <family val="0"/>
    </font>
    <font>
      <b/>
      <vertAlign val="subscript"/>
      <sz val="10"/>
      <name val="Arial"/>
      <family val="2"/>
    </font>
    <font>
      <sz val="12"/>
      <name val="Arial"/>
      <family val="2"/>
    </font>
    <font>
      <sz val="14"/>
      <name val="Arial"/>
      <family val="0"/>
    </font>
    <font>
      <b/>
      <sz val="11"/>
      <name val="Tahoma"/>
      <family val="2"/>
    </font>
    <font>
      <sz val="11"/>
      <name val="Tahoma"/>
      <family val="2"/>
    </font>
    <font>
      <sz val="8.25"/>
      <name val="Arial"/>
      <family val="2"/>
    </font>
    <font>
      <b/>
      <sz val="11"/>
      <name val="Arial"/>
      <family val="0"/>
    </font>
    <font>
      <b/>
      <sz val="9.5"/>
      <name val="Arial"/>
      <family val="0"/>
    </font>
    <font>
      <sz val="9.5"/>
      <name val="Arial"/>
      <family val="0"/>
    </font>
    <font>
      <sz val="9.25"/>
      <name val="Arial"/>
      <family val="0"/>
    </font>
    <font>
      <vertAlign val="subscript"/>
      <sz val="8"/>
      <name val="Arial"/>
      <family val="2"/>
    </font>
    <font>
      <sz val="8"/>
      <name val="Symbol"/>
      <family val="1"/>
    </font>
    <font>
      <vertAlign val="subscript"/>
      <sz val="8"/>
      <name val="Tahoma"/>
      <family val="2"/>
    </font>
    <font>
      <strike/>
      <sz val="10"/>
      <name val="Arial"/>
      <family val="0"/>
    </font>
    <font>
      <b/>
      <sz val="9.25"/>
      <name val="Arial"/>
      <family val="0"/>
    </font>
    <font>
      <sz val="8.5"/>
      <name val="Arial"/>
      <family val="2"/>
    </font>
    <font>
      <b/>
      <vertAlign val="subscript"/>
      <sz val="9.5"/>
      <name val="Arial"/>
      <family val="2"/>
    </font>
    <font>
      <b/>
      <vertAlign val="subscript"/>
      <sz val="9"/>
      <name val="Arial"/>
      <family val="2"/>
    </font>
    <font>
      <b/>
      <sz val="8.25"/>
      <name val="Arial"/>
      <family val="2"/>
    </font>
  </fonts>
  <fills count="10">
    <fill>
      <patternFill/>
    </fill>
    <fill>
      <patternFill patternType="gray125"/>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indexed="42"/>
        <bgColor indexed="64"/>
      </patternFill>
    </fill>
    <fill>
      <patternFill patternType="solid">
        <fgColor indexed="43"/>
        <bgColor indexed="64"/>
      </patternFill>
    </fill>
  </fills>
  <borders count="27">
    <border>
      <left/>
      <right/>
      <top/>
      <bottom/>
      <diagonal/>
    </border>
    <border>
      <left style="thin"/>
      <right style="thin"/>
      <top style="thin"/>
      <bottom style="thin"/>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304">
    <xf numFmtId="0" fontId="0" fillId="0" borderId="0" xfId="0" applyAlignment="1">
      <alignment/>
    </xf>
    <xf numFmtId="0" fontId="0" fillId="0" borderId="0" xfId="0" applyAlignment="1">
      <alignment horizontal="center"/>
    </xf>
    <xf numFmtId="0" fontId="0" fillId="0" borderId="0" xfId="0" applyAlignment="1">
      <alignment horizontal="left"/>
    </xf>
    <xf numFmtId="0" fontId="0" fillId="0" borderId="1" xfId="0" applyBorder="1" applyAlignment="1">
      <alignment horizontal="center"/>
    </xf>
    <xf numFmtId="0" fontId="0" fillId="0" borderId="0" xfId="0" applyBorder="1" applyAlignment="1">
      <alignment horizontal="center"/>
    </xf>
    <xf numFmtId="2" fontId="0" fillId="2" borderId="1" xfId="0" applyNumberFormat="1" applyFill="1" applyBorder="1" applyAlignment="1">
      <alignment horizontal="center"/>
    </xf>
    <xf numFmtId="2" fontId="0" fillId="0" borderId="0" xfId="0" applyNumberFormat="1" applyAlignment="1">
      <alignment horizontal="center"/>
    </xf>
    <xf numFmtId="2" fontId="0" fillId="0" borderId="1" xfId="0" applyNumberFormat="1" applyBorder="1" applyAlignment="1">
      <alignment horizontal="center"/>
    </xf>
    <xf numFmtId="165" fontId="0" fillId="0" borderId="1" xfId="0" applyNumberFormat="1" applyFill="1" applyBorder="1" applyAlignment="1">
      <alignment horizontal="center"/>
    </xf>
    <xf numFmtId="165" fontId="0" fillId="0" borderId="1" xfId="0" applyNumberFormat="1" applyBorder="1" applyAlignment="1">
      <alignment horizontal="center"/>
    </xf>
    <xf numFmtId="0" fontId="5" fillId="0" borderId="0" xfId="0" applyFont="1" applyAlignment="1">
      <alignment horizontal="left"/>
    </xf>
    <xf numFmtId="164" fontId="0" fillId="0" borderId="0" xfId="0" applyNumberFormat="1"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5" fillId="0" borderId="0" xfId="0" applyFont="1" applyFill="1" applyBorder="1" applyAlignment="1">
      <alignment horizontal="center"/>
    </xf>
    <xf numFmtId="0" fontId="0" fillId="3" borderId="1" xfId="0" applyFill="1" applyBorder="1" applyAlignment="1">
      <alignment horizontal="center"/>
    </xf>
    <xf numFmtId="2" fontId="0" fillId="3" borderId="1" xfId="0" applyNumberFormat="1" applyFill="1" applyBorder="1" applyAlignment="1">
      <alignment horizontal="center"/>
    </xf>
    <xf numFmtId="2" fontId="0" fillId="0" borderId="0" xfId="0" applyNumberFormat="1" applyFill="1" applyBorder="1" applyAlignment="1">
      <alignment horizontal="center"/>
    </xf>
    <xf numFmtId="1" fontId="0" fillId="0" borderId="1" xfId="0" applyNumberFormat="1" applyBorder="1" applyAlignment="1">
      <alignment horizontal="center"/>
    </xf>
    <xf numFmtId="2" fontId="0" fillId="4" borderId="1" xfId="0" applyNumberFormat="1" applyFill="1" applyBorder="1" applyAlignment="1">
      <alignment horizontal="center"/>
    </xf>
    <xf numFmtId="0" fontId="11" fillId="0" borderId="1" xfId="0" applyFont="1" applyBorder="1" applyAlignment="1">
      <alignment horizontal="center"/>
    </xf>
    <xf numFmtId="0" fontId="0" fillId="4" borderId="1" xfId="0" applyFill="1" applyBorder="1" applyAlignment="1">
      <alignment horizontal="center"/>
    </xf>
    <xf numFmtId="0" fontId="0" fillId="0" borderId="2" xfId="0" applyBorder="1" applyAlignment="1">
      <alignment/>
    </xf>
    <xf numFmtId="0" fontId="0" fillId="0" borderId="1" xfId="0" applyBorder="1" applyAlignment="1">
      <alignment horizontal="right"/>
    </xf>
    <xf numFmtId="0" fontId="5" fillId="0" borderId="0" xfId="0" applyFont="1" applyAlignment="1">
      <alignment/>
    </xf>
    <xf numFmtId="0" fontId="5"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Font="1" applyFill="1" applyBorder="1" applyAlignment="1">
      <alignment horizontal="center"/>
    </xf>
    <xf numFmtId="164" fontId="0" fillId="3" borderId="1" xfId="0" applyNumberFormat="1" applyFill="1" applyBorder="1" applyAlignment="1">
      <alignment horizontal="center"/>
    </xf>
    <xf numFmtId="165" fontId="0" fillId="0" borderId="0" xfId="0" applyNumberFormat="1" applyBorder="1" applyAlignment="1">
      <alignment horizontal="center"/>
    </xf>
    <xf numFmtId="2" fontId="5" fillId="0" borderId="0" xfId="0" applyNumberFormat="1" applyFont="1" applyBorder="1" applyAlignment="1">
      <alignment horizontal="left"/>
    </xf>
    <xf numFmtId="2" fontId="0" fillId="0" borderId="0" xfId="0" applyNumberFormat="1" applyBorder="1" applyAlignment="1">
      <alignment horizontal="center"/>
    </xf>
    <xf numFmtId="2" fontId="5" fillId="0" borderId="1" xfId="0" applyNumberFormat="1" applyFont="1" applyBorder="1" applyAlignment="1">
      <alignment horizontal="center"/>
    </xf>
    <xf numFmtId="0" fontId="0" fillId="0" borderId="0" xfId="0" applyAlignment="1">
      <alignment horizontal="right"/>
    </xf>
    <xf numFmtId="164" fontId="5" fillId="0" borderId="0" xfId="0" applyNumberFormat="1" applyFont="1" applyFill="1" applyBorder="1" applyAlignment="1">
      <alignment horizontal="center"/>
    </xf>
    <xf numFmtId="2" fontId="15" fillId="0" borderId="0" xfId="0" applyNumberFormat="1" applyFont="1" applyAlignment="1">
      <alignment horizontal="center" vertical="center" wrapText="1"/>
    </xf>
    <xf numFmtId="2" fontId="5" fillId="0" borderId="0" xfId="0" applyNumberFormat="1" applyFont="1" applyAlignment="1">
      <alignment horizontal="center" vertical="center" wrapText="1"/>
    </xf>
    <xf numFmtId="167" fontId="0" fillId="0" borderId="0" xfId="0" applyNumberFormat="1" applyAlignment="1">
      <alignment horizontal="center"/>
    </xf>
    <xf numFmtId="0" fontId="5" fillId="0" borderId="0" xfId="0" applyFont="1" applyAlignment="1">
      <alignment horizontal="center"/>
    </xf>
    <xf numFmtId="0" fontId="0" fillId="0" borderId="1" xfId="0" applyNumberFormat="1" applyFill="1" applyBorder="1" applyAlignment="1">
      <alignment horizontal="center"/>
    </xf>
    <xf numFmtId="1" fontId="0" fillId="0" borderId="0" xfId="0" applyNumberFormat="1" applyBorder="1" applyAlignment="1">
      <alignment horizontal="center"/>
    </xf>
    <xf numFmtId="0" fontId="5" fillId="0" borderId="1" xfId="0" applyFont="1" applyBorder="1" applyAlignment="1">
      <alignment horizontal="center"/>
    </xf>
    <xf numFmtId="165" fontId="5" fillId="0" borderId="1" xfId="0" applyNumberFormat="1" applyFont="1" applyBorder="1" applyAlignment="1">
      <alignment horizontal="center"/>
    </xf>
    <xf numFmtId="1" fontId="5" fillId="0" borderId="1" xfId="0" applyNumberFormat="1" applyFont="1" applyBorder="1" applyAlignment="1">
      <alignment horizontal="center"/>
    </xf>
    <xf numFmtId="0" fontId="5" fillId="0" borderId="1" xfId="0" applyFont="1" applyFill="1" applyBorder="1" applyAlignment="1">
      <alignment horizontal="center"/>
    </xf>
    <xf numFmtId="0" fontId="0" fillId="0" borderId="0" xfId="0" applyBorder="1" applyAlignment="1">
      <alignment/>
    </xf>
    <xf numFmtId="0" fontId="0" fillId="0" borderId="0" xfId="0" applyBorder="1" applyAlignment="1">
      <alignment horizontal="right"/>
    </xf>
    <xf numFmtId="0" fontId="0" fillId="0" borderId="1" xfId="0" applyFont="1" applyBorder="1" applyAlignment="1">
      <alignment horizontal="center"/>
    </xf>
    <xf numFmtId="1" fontId="0" fillId="4" borderId="1" xfId="0" applyNumberFormat="1" applyFont="1" applyFill="1" applyBorder="1" applyAlignment="1">
      <alignment horizontal="center"/>
    </xf>
    <xf numFmtId="0" fontId="14" fillId="0" borderId="0" xfId="0" applyFont="1" applyAlignment="1">
      <alignment horizontal="center"/>
    </xf>
    <xf numFmtId="2" fontId="0" fillId="0" borderId="3" xfId="0" applyNumberFormat="1" applyBorder="1" applyAlignment="1">
      <alignment horizontal="center"/>
    </xf>
    <xf numFmtId="2" fontId="0" fillId="0" borderId="4" xfId="0" applyNumberFormat="1" applyBorder="1" applyAlignment="1">
      <alignment horizontal="center"/>
    </xf>
    <xf numFmtId="2" fontId="5" fillId="0" borderId="1" xfId="0" applyNumberFormat="1" applyFont="1" applyFill="1" applyBorder="1" applyAlignment="1">
      <alignment horizontal="center"/>
    </xf>
    <xf numFmtId="165" fontId="0" fillId="0" borderId="0" xfId="0" applyNumberFormat="1" applyFill="1" applyBorder="1" applyAlignment="1">
      <alignment horizontal="center"/>
    </xf>
    <xf numFmtId="0" fontId="0" fillId="0" borderId="0" xfId="0" applyFont="1" applyBorder="1" applyAlignment="1">
      <alignment vertical="top" wrapText="1"/>
    </xf>
    <xf numFmtId="0" fontId="5" fillId="0" borderId="0" xfId="0" applyFont="1" applyAlignment="1">
      <alignment horizontal="right"/>
    </xf>
    <xf numFmtId="0" fontId="0" fillId="0" borderId="1" xfId="0" applyFont="1" applyBorder="1" applyAlignment="1">
      <alignment vertical="top" wrapText="1"/>
    </xf>
    <xf numFmtId="0" fontId="0" fillId="0" borderId="0" xfId="0" applyFont="1" applyBorder="1" applyAlignment="1">
      <alignment/>
    </xf>
    <xf numFmtId="0" fontId="5" fillId="0" borderId="0" xfId="0" applyFont="1" applyBorder="1" applyAlignment="1">
      <alignment/>
    </xf>
    <xf numFmtId="0" fontId="5"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18" fillId="0" borderId="0" xfId="21" applyBorder="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center"/>
    </xf>
    <xf numFmtId="2"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1" fontId="5" fillId="0" borderId="1" xfId="0" applyNumberFormat="1" applyFont="1" applyFill="1" applyBorder="1" applyAlignment="1">
      <alignment horizontal="center"/>
    </xf>
    <xf numFmtId="1" fontId="5" fillId="5" borderId="1" xfId="0" applyNumberFormat="1" applyFont="1" applyFill="1" applyBorder="1" applyAlignment="1">
      <alignment horizontal="center"/>
    </xf>
    <xf numFmtId="2" fontId="5" fillId="5" borderId="1" xfId="0" applyNumberFormat="1" applyFont="1" applyFill="1" applyBorder="1" applyAlignment="1">
      <alignment horizontal="center"/>
    </xf>
    <xf numFmtId="165" fontId="5" fillId="5" borderId="1" xfId="0" applyNumberFormat="1" applyFont="1" applyFill="1" applyBorder="1" applyAlignment="1">
      <alignment horizontal="center"/>
    </xf>
    <xf numFmtId="2" fontId="14" fillId="0" borderId="0" xfId="0" applyNumberFormat="1" applyFont="1" applyAlignment="1">
      <alignment horizontal="left"/>
    </xf>
    <xf numFmtId="0" fontId="23" fillId="0" borderId="0" xfId="0" applyFont="1" applyAlignment="1">
      <alignment/>
    </xf>
    <xf numFmtId="2" fontId="0" fillId="0" borderId="0" xfId="0" applyNumberFormat="1" applyFont="1" applyBorder="1" applyAlignment="1">
      <alignment horizontal="center"/>
    </xf>
    <xf numFmtId="0" fontId="0" fillId="0" borderId="0" xfId="0" applyFont="1" applyAlignment="1">
      <alignment horizontal="center"/>
    </xf>
    <xf numFmtId="2" fontId="0" fillId="0" borderId="1" xfId="0" applyNumberFormat="1" applyFont="1" applyBorder="1" applyAlignment="1">
      <alignment horizontal="center"/>
    </xf>
    <xf numFmtId="165" fontId="0" fillId="0" borderId="1" xfId="0" applyNumberFormat="1" applyFont="1" applyBorder="1" applyAlignment="1">
      <alignment horizontal="center"/>
    </xf>
    <xf numFmtId="2" fontId="5" fillId="0" borderId="0" xfId="0" applyNumberFormat="1" applyFont="1" applyBorder="1" applyAlignment="1">
      <alignment horizontal="right"/>
    </xf>
    <xf numFmtId="2" fontId="5" fillId="0" borderId="1" xfId="0" applyNumberFormat="1" applyFont="1" applyBorder="1" applyAlignment="1">
      <alignment horizontal="right"/>
    </xf>
    <xf numFmtId="165" fontId="0" fillId="0" borderId="0" xfId="0" applyNumberFormat="1" applyAlignment="1">
      <alignment horizontal="center"/>
    </xf>
    <xf numFmtId="0" fontId="9" fillId="0" borderId="0" xfId="0" applyFont="1" applyAlignment="1">
      <alignment/>
    </xf>
    <xf numFmtId="0" fontId="14" fillId="0" borderId="0" xfId="0" applyFont="1" applyAlignment="1">
      <alignment/>
    </xf>
    <xf numFmtId="165" fontId="5" fillId="0" borderId="0" xfId="0" applyNumberFormat="1" applyFont="1" applyAlignment="1">
      <alignment horizontal="left"/>
    </xf>
    <xf numFmtId="165" fontId="0" fillId="0" borderId="0" xfId="0" applyNumberFormat="1" applyAlignment="1">
      <alignment/>
    </xf>
    <xf numFmtId="0" fontId="0" fillId="6" borderId="0" xfId="0" applyFill="1" applyAlignment="1">
      <alignment horizontal="center"/>
    </xf>
    <xf numFmtId="2" fontId="0" fillId="6" borderId="0" xfId="0" applyNumberFormat="1" applyFill="1" applyAlignment="1">
      <alignment horizontal="center"/>
    </xf>
    <xf numFmtId="0" fontId="0" fillId="6" borderId="0" xfId="0" applyFill="1" applyBorder="1" applyAlignment="1">
      <alignment horizontal="center"/>
    </xf>
    <xf numFmtId="1" fontId="0" fillId="6" borderId="0" xfId="0" applyNumberFormat="1" applyFill="1" applyBorder="1" applyAlignment="1">
      <alignment horizontal="center"/>
    </xf>
    <xf numFmtId="0" fontId="0" fillId="6" borderId="0" xfId="0" applyFill="1" applyAlignment="1">
      <alignment/>
    </xf>
    <xf numFmtId="2" fontId="0" fillId="6" borderId="0" xfId="0" applyNumberFormat="1" applyFill="1" applyBorder="1" applyAlignment="1">
      <alignment horizontal="center"/>
    </xf>
    <xf numFmtId="165" fontId="0" fillId="6" borderId="0" xfId="0" applyNumberFormat="1" applyFill="1" applyBorder="1" applyAlignment="1">
      <alignment horizontal="center"/>
    </xf>
    <xf numFmtId="165" fontId="0" fillId="0" borderId="5" xfId="0" applyNumberFormat="1" applyFont="1" applyBorder="1" applyAlignment="1">
      <alignment horizontal="center"/>
    </xf>
    <xf numFmtId="2" fontId="0" fillId="0" borderId="6" xfId="0" applyNumberFormat="1" applyFont="1" applyBorder="1" applyAlignment="1">
      <alignment horizontal="center"/>
    </xf>
    <xf numFmtId="2" fontId="0" fillId="0" borderId="5" xfId="0" applyNumberFormat="1" applyBorder="1" applyAlignment="1">
      <alignment horizontal="center"/>
    </xf>
    <xf numFmtId="165" fontId="0" fillId="0" borderId="6" xfId="0" applyNumberFormat="1" applyBorder="1" applyAlignment="1">
      <alignment horizontal="center"/>
    </xf>
    <xf numFmtId="2" fontId="0" fillId="0" borderId="7" xfId="0" applyNumberFormat="1" applyBorder="1" applyAlignment="1">
      <alignment horizontal="center"/>
    </xf>
    <xf numFmtId="2" fontId="0" fillId="0" borderId="8" xfId="0" applyNumberFormat="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xf numFmtId="2" fontId="5" fillId="0" borderId="10" xfId="0" applyNumberFormat="1" applyFont="1" applyBorder="1" applyAlignment="1">
      <alignment horizontal="right"/>
    </xf>
    <xf numFmtId="2" fontId="0" fillId="0" borderId="11" xfId="0" applyNumberFormat="1" applyFont="1" applyBorder="1" applyAlignment="1">
      <alignment horizontal="center"/>
    </xf>
    <xf numFmtId="2" fontId="0" fillId="2" borderId="11" xfId="0" applyNumberFormat="1" applyFill="1" applyBorder="1" applyAlignment="1">
      <alignment horizontal="center"/>
    </xf>
    <xf numFmtId="2" fontId="0" fillId="0" borderId="11" xfId="0" applyNumberFormat="1" applyBorder="1" applyAlignment="1">
      <alignment horizontal="center"/>
    </xf>
    <xf numFmtId="2" fontId="0" fillId="0" borderId="12" xfId="0" applyNumberFormat="1" applyBorder="1" applyAlignment="1">
      <alignment horizontal="center"/>
    </xf>
    <xf numFmtId="2" fontId="0" fillId="0" borderId="0" xfId="0" applyNumberFormat="1" applyBorder="1" applyAlignment="1">
      <alignment horizontal="left" vertical="center" wrapText="1"/>
    </xf>
    <xf numFmtId="2" fontId="0" fillId="0" borderId="13" xfId="0" applyNumberFormat="1" applyBorder="1" applyAlignment="1">
      <alignment horizontal="center"/>
    </xf>
    <xf numFmtId="2" fontId="0" fillId="0" borderId="14" xfId="0" applyNumberFormat="1" applyBorder="1" applyAlignment="1">
      <alignment horizontal="center"/>
    </xf>
    <xf numFmtId="2" fontId="0" fillId="0" borderId="2" xfId="0" applyNumberFormat="1" applyBorder="1" applyAlignment="1">
      <alignment horizontal="center"/>
    </xf>
    <xf numFmtId="2" fontId="0" fillId="0" borderId="0" xfId="0" applyNumberFormat="1" applyBorder="1" applyAlignment="1">
      <alignment/>
    </xf>
    <xf numFmtId="2" fontId="5" fillId="0" borderId="0" xfId="0" applyNumberFormat="1" applyFont="1" applyAlignment="1">
      <alignment horizontal="left"/>
    </xf>
    <xf numFmtId="0" fontId="9" fillId="0" borderId="0" xfId="0" applyFont="1" applyAlignment="1">
      <alignment/>
    </xf>
    <xf numFmtId="0" fontId="22" fillId="0" borderId="0" xfId="0" applyFont="1" applyAlignment="1">
      <alignment/>
    </xf>
    <xf numFmtId="0" fontId="0" fillId="0" borderId="1" xfId="0" applyBorder="1" applyAlignment="1">
      <alignment/>
    </xf>
    <xf numFmtId="165" fontId="0" fillId="4" borderId="1" xfId="0" applyNumberFormat="1" applyFill="1" applyBorder="1" applyAlignment="1">
      <alignment horizontal="center"/>
    </xf>
    <xf numFmtId="169" fontId="0" fillId="4" borderId="1" xfId="0" applyNumberFormat="1" applyFill="1" applyBorder="1" applyAlignment="1">
      <alignment horizontal="center"/>
    </xf>
    <xf numFmtId="168" fontId="0" fillId="4" borderId="1" xfId="0" applyNumberFormat="1" applyFill="1" applyBorder="1" applyAlignment="1">
      <alignment horizontal="center"/>
    </xf>
    <xf numFmtId="0" fontId="0" fillId="7" borderId="0" xfId="0" applyFill="1" applyAlignment="1">
      <alignment/>
    </xf>
    <xf numFmtId="2" fontId="5" fillId="4" borderId="1" xfId="0" applyNumberFormat="1" applyFont="1" applyFill="1" applyBorder="1" applyAlignment="1">
      <alignment horizontal="center"/>
    </xf>
    <xf numFmtId="1" fontId="5" fillId="4" borderId="1" xfId="0" applyNumberFormat="1" applyFont="1" applyFill="1" applyBorder="1" applyAlignment="1">
      <alignment horizontal="center"/>
    </xf>
    <xf numFmtId="2" fontId="0" fillId="0" borderId="1" xfId="0" applyNumberFormat="1" applyFont="1" applyBorder="1" applyAlignment="1">
      <alignment horizontal="center" vertical="center"/>
    </xf>
    <xf numFmtId="1" fontId="9"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0" fontId="0" fillId="0" borderId="0" xfId="0" applyFill="1" applyAlignment="1">
      <alignment/>
    </xf>
    <xf numFmtId="2" fontId="0" fillId="0" borderId="0" xfId="0" applyNumberFormat="1" applyFont="1" applyBorder="1" applyAlignment="1">
      <alignment horizontal="center" vertical="center"/>
    </xf>
    <xf numFmtId="2" fontId="0" fillId="4" borderId="1" xfId="0" applyNumberFormat="1" applyFont="1" applyFill="1" applyBorder="1" applyAlignment="1">
      <alignment horizontal="center" vertical="center"/>
    </xf>
    <xf numFmtId="1" fontId="0" fillId="0" borderId="1" xfId="0" applyNumberFormat="1" applyFont="1" applyFill="1" applyBorder="1" applyAlignment="1">
      <alignment horizontal="center"/>
    </xf>
    <xf numFmtId="168" fontId="5" fillId="0" borderId="0" xfId="0" applyNumberFormat="1" applyFont="1" applyFill="1" applyBorder="1" applyAlignment="1">
      <alignment horizontal="center"/>
    </xf>
    <xf numFmtId="168" fontId="0" fillId="0" borderId="0" xfId="0" applyNumberFormat="1" applyFill="1" applyBorder="1" applyAlignment="1">
      <alignment horizontal="center"/>
    </xf>
    <xf numFmtId="0" fontId="0" fillId="0" borderId="0" xfId="0" applyAlignment="1">
      <alignment horizontal="left" vertical="top" wrapText="1"/>
    </xf>
    <xf numFmtId="2" fontId="0" fillId="0" borderId="0" xfId="0" applyNumberFormat="1" applyFont="1" applyBorder="1" applyAlignment="1">
      <alignment horizontal="left"/>
    </xf>
    <xf numFmtId="2" fontId="0" fillId="0" borderId="1" xfId="0" applyNumberFormat="1" applyFont="1" applyBorder="1" applyAlignment="1">
      <alignment horizontal="left"/>
    </xf>
    <xf numFmtId="0" fontId="9" fillId="0" borderId="0" xfId="0" applyFont="1" applyAlignment="1">
      <alignment horizontal="left"/>
    </xf>
    <xf numFmtId="0" fontId="0" fillId="0" borderId="15" xfId="0" applyBorder="1" applyAlignment="1">
      <alignment/>
    </xf>
    <xf numFmtId="0" fontId="0" fillId="0" borderId="3" xfId="0" applyBorder="1" applyAlignment="1">
      <alignment/>
    </xf>
    <xf numFmtId="0" fontId="0" fillId="0" borderId="4" xfId="0" applyBorder="1" applyAlignment="1">
      <alignment/>
    </xf>
    <xf numFmtId="0" fontId="0" fillId="0" borderId="16" xfId="0" applyBorder="1" applyAlignment="1">
      <alignment/>
    </xf>
    <xf numFmtId="0" fontId="0" fillId="0" borderId="17" xfId="0" applyBorder="1" applyAlignment="1">
      <alignment/>
    </xf>
    <xf numFmtId="168" fontId="5" fillId="0" borderId="14" xfId="0" applyNumberFormat="1" applyFont="1" applyFill="1" applyBorder="1" applyAlignment="1">
      <alignment horizontal="center"/>
    </xf>
    <xf numFmtId="168" fontId="0" fillId="0" borderId="14" xfId="0" applyNumberFormat="1" applyFill="1" applyBorder="1" applyAlignment="1">
      <alignment horizontal="center"/>
    </xf>
    <xf numFmtId="2" fontId="0" fillId="0" borderId="14" xfId="0" applyNumberFormat="1" applyFill="1" applyBorder="1" applyAlignment="1">
      <alignment horizontal="center"/>
    </xf>
    <xf numFmtId="0" fontId="0" fillId="0" borderId="14" xfId="0" applyBorder="1" applyAlignment="1">
      <alignment/>
    </xf>
    <xf numFmtId="0" fontId="0" fillId="0" borderId="13" xfId="0" applyBorder="1" applyAlignment="1">
      <alignment/>
    </xf>
    <xf numFmtId="0" fontId="0" fillId="0" borderId="3" xfId="0" applyBorder="1" applyAlignment="1">
      <alignment horizontal="center"/>
    </xf>
    <xf numFmtId="2" fontId="0" fillId="0" borderId="0" xfId="0" applyNumberFormat="1" applyFont="1" applyBorder="1" applyAlignment="1">
      <alignment/>
    </xf>
    <xf numFmtId="166" fontId="0" fillId="3" borderId="1" xfId="0" applyNumberFormat="1" applyFill="1" applyBorder="1" applyAlignment="1">
      <alignment horizontal="center"/>
    </xf>
    <xf numFmtId="0" fontId="5" fillId="0" borderId="0" xfId="0" applyFont="1" applyBorder="1" applyAlignment="1">
      <alignment/>
    </xf>
    <xf numFmtId="0" fontId="0" fillId="0" borderId="0" xfId="0" applyNumberFormat="1" applyAlignment="1">
      <alignment/>
    </xf>
    <xf numFmtId="0" fontId="5" fillId="0" borderId="0" xfId="0" applyFont="1" applyBorder="1" applyAlignment="1">
      <alignment horizontal="left"/>
    </xf>
    <xf numFmtId="0" fontId="0" fillId="0" borderId="0" xfId="0" applyFont="1" applyAlignment="1">
      <alignment/>
    </xf>
    <xf numFmtId="0" fontId="0" fillId="0" borderId="1" xfId="0" applyFill="1" applyBorder="1" applyAlignment="1">
      <alignment/>
    </xf>
    <xf numFmtId="0" fontId="11" fillId="0" borderId="1" xfId="0" applyFont="1" applyFill="1" applyBorder="1" applyAlignment="1">
      <alignment horizontal="center"/>
    </xf>
    <xf numFmtId="0" fontId="5" fillId="0" borderId="18" xfId="0" applyFont="1" applyBorder="1" applyAlignment="1">
      <alignment horizontal="left"/>
    </xf>
    <xf numFmtId="0" fontId="11" fillId="0" borderId="19" xfId="0" applyFont="1" applyFill="1" applyBorder="1" applyAlignment="1">
      <alignment horizontal="center"/>
    </xf>
    <xf numFmtId="0" fontId="5" fillId="0" borderId="18" xfId="0" applyFont="1" applyBorder="1" applyAlignment="1">
      <alignment/>
    </xf>
    <xf numFmtId="0" fontId="0" fillId="0" borderId="0" xfId="0" applyFill="1" applyBorder="1" applyAlignment="1">
      <alignment horizontal="right"/>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Border="1" applyAlignment="1">
      <alignment horizontal="center" vertical="center" wrapText="1"/>
    </xf>
    <xf numFmtId="0" fontId="34" fillId="0" borderId="1" xfId="0" applyFont="1" applyBorder="1" applyAlignment="1">
      <alignment/>
    </xf>
    <xf numFmtId="2" fontId="34" fillId="3" borderId="0" xfId="0" applyNumberFormat="1" applyFont="1" applyFill="1" applyAlignment="1">
      <alignment horizontal="center"/>
    </xf>
    <xf numFmtId="0" fontId="34" fillId="0" borderId="1" xfId="0" applyFont="1" applyBorder="1" applyAlignment="1">
      <alignment horizontal="center"/>
    </xf>
    <xf numFmtId="0" fontId="34" fillId="3" borderId="1" xfId="0" applyFont="1" applyFill="1" applyBorder="1" applyAlignment="1">
      <alignment horizontal="center"/>
    </xf>
    <xf numFmtId="2" fontId="34" fillId="3" borderId="1" xfId="0" applyNumberFormat="1" applyFont="1" applyFill="1" applyBorder="1" applyAlignment="1">
      <alignment horizontal="center"/>
    </xf>
    <xf numFmtId="0" fontId="34" fillId="0" borderId="1" xfId="0" applyFont="1" applyFill="1" applyBorder="1" applyAlignment="1">
      <alignment horizontal="left"/>
    </xf>
    <xf numFmtId="0" fontId="0" fillId="0" borderId="0" xfId="0" applyFont="1" applyAlignment="1">
      <alignment/>
    </xf>
    <xf numFmtId="0" fontId="0" fillId="0" borderId="20" xfId="0" applyFont="1" applyFill="1" applyBorder="1" applyAlignment="1">
      <alignment horizontal="center"/>
    </xf>
    <xf numFmtId="0" fontId="0" fillId="0" borderId="1" xfId="0" applyFont="1" applyFill="1" applyBorder="1" applyAlignment="1">
      <alignment/>
    </xf>
    <xf numFmtId="0" fontId="0" fillId="0" borderId="1" xfId="0" applyFont="1" applyBorder="1" applyAlignment="1">
      <alignment/>
    </xf>
    <xf numFmtId="0" fontId="0" fillId="0" borderId="1" xfId="0" applyFont="1" applyFill="1" applyBorder="1" applyAlignment="1">
      <alignment horizontal="center"/>
    </xf>
    <xf numFmtId="2" fontId="0" fillId="3" borderId="1" xfId="0" applyNumberFormat="1" applyFont="1" applyFill="1" applyBorder="1" applyAlignment="1">
      <alignment horizontal="center"/>
    </xf>
    <xf numFmtId="0" fontId="0" fillId="0" borderId="1" xfId="0" applyFont="1" applyBorder="1" applyAlignment="1">
      <alignment horizontal="center"/>
    </xf>
    <xf numFmtId="2" fontId="0" fillId="0" borderId="0" xfId="0" applyNumberFormat="1" applyFont="1" applyAlignment="1">
      <alignment/>
    </xf>
    <xf numFmtId="165" fontId="0" fillId="0" borderId="1" xfId="0" applyNumberFormat="1" applyFont="1" applyBorder="1" applyAlignment="1">
      <alignment horizontal="center"/>
    </xf>
    <xf numFmtId="165" fontId="0" fillId="3" borderId="1" xfId="0" applyNumberFormat="1" applyFont="1" applyFill="1" applyBorder="1" applyAlignment="1">
      <alignment horizontal="center"/>
    </xf>
    <xf numFmtId="0" fontId="22" fillId="0" borderId="0" xfId="0" applyFont="1" applyBorder="1" applyAlignment="1">
      <alignment/>
    </xf>
    <xf numFmtId="0" fontId="0" fillId="0" borderId="0" xfId="0" applyFill="1" applyAlignment="1">
      <alignment horizontal="center"/>
    </xf>
    <xf numFmtId="1" fontId="0" fillId="0" borderId="0" xfId="0" applyNumberFormat="1" applyFill="1" applyBorder="1" applyAlignment="1">
      <alignment horizontal="center"/>
    </xf>
    <xf numFmtId="2" fontId="0" fillId="0" borderId="0" xfId="0" applyNumberFormat="1" applyFill="1" applyAlignment="1">
      <alignment horizontal="center"/>
    </xf>
    <xf numFmtId="0" fontId="0" fillId="0" borderId="0" xfId="0" applyFill="1" applyBorder="1" applyAlignment="1">
      <alignment horizontal="left"/>
    </xf>
    <xf numFmtId="177"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170" fontId="0" fillId="0" borderId="1" xfId="0" applyNumberFormat="1" applyBorder="1" applyAlignment="1" applyProtection="1">
      <alignment horizontal="center" vertical="center" wrapText="1"/>
      <protection locked="0"/>
    </xf>
    <xf numFmtId="171" fontId="0" fillId="0" borderId="1" xfId="0" applyNumberFormat="1" applyBorder="1" applyAlignment="1" applyProtection="1">
      <alignment horizontal="center" vertical="center" wrapText="1"/>
      <protection locked="0"/>
    </xf>
    <xf numFmtId="172" fontId="0" fillId="0" borderId="1" xfId="0" applyNumberFormat="1" applyBorder="1" applyAlignment="1" applyProtection="1">
      <alignment horizontal="center" vertical="center" wrapText="1"/>
      <protection locked="0"/>
    </xf>
    <xf numFmtId="173" fontId="0" fillId="0" borderId="1" xfId="0" applyNumberFormat="1" applyBorder="1" applyAlignment="1" applyProtection="1">
      <alignment horizontal="center" vertical="center" wrapText="1"/>
      <protection locked="0"/>
    </xf>
    <xf numFmtId="174" fontId="0" fillId="0" borderId="1" xfId="0" applyNumberFormat="1" applyBorder="1" applyAlignment="1" applyProtection="1">
      <alignment horizontal="center" vertical="center" wrapText="1"/>
      <protection locked="0"/>
    </xf>
    <xf numFmtId="174"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175" fontId="0" fillId="0" borderId="1" xfId="0" applyNumberForma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165" fontId="0" fillId="0" borderId="0" xfId="0" applyNumberFormat="1" applyFill="1" applyAlignment="1">
      <alignment horizontal="center"/>
    </xf>
    <xf numFmtId="166" fontId="0" fillId="0" borderId="1" xfId="0" applyNumberFormat="1" applyBorder="1" applyAlignment="1">
      <alignment horizontal="center"/>
    </xf>
    <xf numFmtId="166" fontId="0" fillId="0" borderId="1" xfId="0" applyNumberFormat="1" applyFill="1" applyBorder="1" applyAlignment="1">
      <alignment horizontal="center"/>
    </xf>
    <xf numFmtId="166" fontId="0" fillId="0" borderId="0" xfId="0" applyNumberFormat="1" applyFill="1" applyAlignment="1">
      <alignment horizontal="center"/>
    </xf>
    <xf numFmtId="0" fontId="5" fillId="0" borderId="1" xfId="0" applyFont="1" applyBorder="1" applyAlignment="1">
      <alignment/>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14" fontId="0" fillId="0" borderId="1" xfId="0" applyNumberFormat="1" applyBorder="1" applyAlignment="1">
      <alignment horizontal="center" vertical="center"/>
    </xf>
    <xf numFmtId="0" fontId="5" fillId="0" borderId="1" xfId="0" applyFont="1" applyBorder="1" applyAlignment="1">
      <alignment horizontal="center" vertical="center"/>
    </xf>
    <xf numFmtId="0" fontId="0" fillId="0" borderId="0" xfId="0" applyFill="1" applyAlignment="1">
      <alignment horizontal="left"/>
    </xf>
    <xf numFmtId="2" fontId="0" fillId="8" borderId="1" xfId="0" applyNumberFormat="1" applyFill="1" applyBorder="1" applyAlignment="1">
      <alignment horizontal="center"/>
    </xf>
    <xf numFmtId="2" fontId="0" fillId="8" borderId="0" xfId="0" applyNumberFormat="1" applyFill="1" applyAlignment="1">
      <alignment horizontal="center"/>
    </xf>
    <xf numFmtId="2" fontId="7" fillId="8" borderId="1" xfId="0" applyNumberFormat="1" applyFont="1" applyFill="1" applyBorder="1" applyAlignment="1" applyProtection="1">
      <alignment horizontal="center"/>
      <protection locked="0"/>
    </xf>
    <xf numFmtId="0" fontId="0" fillId="9" borderId="1" xfId="0" applyFill="1" applyBorder="1" applyAlignment="1" applyProtection="1">
      <alignment horizontal="center"/>
      <protection locked="0"/>
    </xf>
    <xf numFmtId="0" fontId="0" fillId="9" borderId="1" xfId="0" applyNumberFormat="1" applyFill="1" applyBorder="1" applyAlignment="1" applyProtection="1">
      <alignment horizontal="center"/>
      <protection locked="0"/>
    </xf>
    <xf numFmtId="1" fontId="0" fillId="9" borderId="1" xfId="0" applyNumberFormat="1" applyFill="1" applyBorder="1" applyAlignment="1" applyProtection="1">
      <alignment horizontal="center"/>
      <protection locked="0"/>
    </xf>
    <xf numFmtId="2" fontId="0" fillId="9" borderId="1" xfId="0" applyNumberFormat="1" applyFill="1" applyBorder="1" applyAlignment="1" applyProtection="1">
      <alignment horizontal="center"/>
      <protection locked="0"/>
    </xf>
    <xf numFmtId="165" fontId="0" fillId="9" borderId="1" xfId="0" applyNumberFormat="1" applyFill="1" applyBorder="1" applyAlignment="1" applyProtection="1">
      <alignment horizontal="center"/>
      <protection locked="0"/>
    </xf>
    <xf numFmtId="164" fontId="0" fillId="9" borderId="1" xfId="0" applyNumberFormat="1" applyFill="1" applyBorder="1" applyAlignment="1" applyProtection="1">
      <alignment horizontal="center"/>
      <protection locked="0"/>
    </xf>
    <xf numFmtId="2" fontId="0" fillId="8" borderId="21" xfId="0" applyNumberFormat="1" applyFill="1" applyBorder="1" applyAlignment="1">
      <alignment horizontal="center"/>
    </xf>
    <xf numFmtId="0" fontId="0" fillId="8" borderId="1" xfId="0" applyFill="1" applyBorder="1" applyAlignment="1">
      <alignment horizontal="center"/>
    </xf>
    <xf numFmtId="1" fontId="0" fillId="8" borderId="1" xfId="0" applyNumberFormat="1" applyFill="1" applyBorder="1" applyAlignment="1">
      <alignment horizontal="center"/>
    </xf>
    <xf numFmtId="164" fontId="0" fillId="9" borderId="1" xfId="0" applyNumberFormat="1" applyFont="1" applyFill="1" applyBorder="1" applyAlignment="1" applyProtection="1">
      <alignment horizontal="center"/>
      <protection locked="0"/>
    </xf>
    <xf numFmtId="1" fontId="0" fillId="9" borderId="1" xfId="0" applyNumberFormat="1" applyFont="1" applyFill="1" applyBorder="1" applyAlignment="1" applyProtection="1">
      <alignment horizontal="center"/>
      <protection locked="0"/>
    </xf>
    <xf numFmtId="1" fontId="22" fillId="9" borderId="1" xfId="0" applyNumberFormat="1" applyFont="1" applyFill="1" applyBorder="1" applyAlignment="1" applyProtection="1">
      <alignment horizontal="center"/>
      <protection locked="0"/>
    </xf>
    <xf numFmtId="164" fontId="0" fillId="8" borderId="1" xfId="0" applyNumberFormat="1" applyFill="1" applyBorder="1" applyAlignment="1">
      <alignment horizontal="center"/>
    </xf>
    <xf numFmtId="168" fontId="0" fillId="8" borderId="1" xfId="0" applyNumberFormat="1" applyFill="1" applyBorder="1" applyAlignment="1">
      <alignment horizontal="center"/>
    </xf>
    <xf numFmtId="168" fontId="5" fillId="8" borderId="1" xfId="0" applyNumberFormat="1" applyFont="1" applyFill="1" applyBorder="1" applyAlignment="1">
      <alignment horizontal="center"/>
    </xf>
    <xf numFmtId="166" fontId="0" fillId="8" borderId="1" xfId="0" applyNumberFormat="1" applyFill="1" applyBorder="1" applyAlignment="1">
      <alignment horizontal="center"/>
    </xf>
    <xf numFmtId="0" fontId="0" fillId="8" borderId="18" xfId="0" applyFont="1" applyFill="1" applyBorder="1" applyAlignment="1">
      <alignment horizontal="center"/>
    </xf>
    <xf numFmtId="0" fontId="0" fillId="8" borderId="1" xfId="0" applyFill="1" applyBorder="1" applyAlignment="1" applyProtection="1">
      <alignment horizontal="center"/>
      <protection locked="0"/>
    </xf>
    <xf numFmtId="165" fontId="0" fillId="8" borderId="1" xfId="0" applyNumberFormat="1" applyFill="1" applyBorder="1" applyAlignment="1">
      <alignment horizontal="center"/>
    </xf>
    <xf numFmtId="0" fontId="0" fillId="9" borderId="1" xfId="0" applyFont="1" applyFill="1" applyBorder="1" applyAlignment="1" applyProtection="1">
      <alignment horizontal="center"/>
      <protection locked="0"/>
    </xf>
    <xf numFmtId="164" fontId="0" fillId="9" borderId="1" xfId="0" applyNumberFormat="1" applyFont="1" applyFill="1" applyBorder="1" applyAlignment="1" applyProtection="1">
      <alignment horizontal="center"/>
      <protection locked="0"/>
    </xf>
    <xf numFmtId="0" fontId="0" fillId="9" borderId="1" xfId="0" applyFont="1" applyFill="1" applyBorder="1" applyAlignment="1" applyProtection="1">
      <alignment horizontal="center"/>
      <protection locked="0"/>
    </xf>
    <xf numFmtId="2" fontId="0" fillId="9" borderId="1" xfId="0" applyNumberFormat="1" applyFont="1" applyFill="1" applyBorder="1" applyAlignment="1" applyProtection="1">
      <alignment horizontal="center"/>
      <protection locked="0"/>
    </xf>
    <xf numFmtId="0" fontId="0" fillId="9" borderId="1" xfId="0" applyFont="1" applyFill="1" applyBorder="1" applyAlignment="1">
      <alignment vertical="top" wrapText="1"/>
    </xf>
    <xf numFmtId="0" fontId="0" fillId="8" borderId="1" xfId="0" applyFont="1" applyFill="1" applyBorder="1" applyAlignment="1">
      <alignment vertical="top" wrapText="1"/>
    </xf>
    <xf numFmtId="2" fontId="5" fillId="0" borderId="0" xfId="0" applyNumberFormat="1" applyFont="1" applyBorder="1" applyAlignment="1">
      <alignment horizontal="center"/>
    </xf>
    <xf numFmtId="2" fontId="5" fillId="8" borderId="3" xfId="0" applyNumberFormat="1" applyFont="1" applyFill="1" applyBorder="1" applyAlignment="1">
      <alignment horizontal="center" vertical="center" wrapText="1"/>
    </xf>
    <xf numFmtId="2" fontId="5" fillId="8" borderId="4" xfId="0" applyNumberFormat="1" applyFont="1" applyFill="1" applyBorder="1" applyAlignment="1">
      <alignment horizontal="center" vertical="center" wrapText="1"/>
    </xf>
    <xf numFmtId="2" fontId="5" fillId="8" borderId="16" xfId="0" applyNumberFormat="1" applyFont="1" applyFill="1" applyBorder="1" applyAlignment="1">
      <alignment horizontal="center" vertical="center" wrapText="1"/>
    </xf>
    <xf numFmtId="2" fontId="5" fillId="8" borderId="0" xfId="0" applyNumberFormat="1" applyFont="1" applyFill="1" applyBorder="1" applyAlignment="1">
      <alignment horizontal="center" vertical="center" wrapText="1"/>
    </xf>
    <xf numFmtId="2" fontId="5" fillId="8" borderId="2" xfId="0" applyNumberFormat="1" applyFont="1" applyFill="1" applyBorder="1" applyAlignment="1">
      <alignment horizontal="center" vertical="center" wrapText="1"/>
    </xf>
    <xf numFmtId="2" fontId="5" fillId="8" borderId="17" xfId="0" applyNumberFormat="1" applyFont="1" applyFill="1" applyBorder="1" applyAlignment="1">
      <alignment horizontal="center" vertical="center" wrapText="1"/>
    </xf>
    <xf numFmtId="2" fontId="5" fillId="8" borderId="14" xfId="0" applyNumberFormat="1" applyFont="1" applyFill="1" applyBorder="1" applyAlignment="1">
      <alignment horizontal="center" vertical="center" wrapText="1"/>
    </xf>
    <xf numFmtId="2" fontId="5" fillId="8" borderId="13" xfId="0" applyNumberFormat="1" applyFont="1" applyFill="1" applyBorder="1" applyAlignment="1">
      <alignment horizontal="center" vertical="center" wrapText="1"/>
    </xf>
    <xf numFmtId="0" fontId="0" fillId="0" borderId="19" xfId="0" applyBorder="1" applyAlignment="1">
      <alignment/>
    </xf>
    <xf numFmtId="2" fontId="0" fillId="0" borderId="21" xfId="0" applyNumberFormat="1" applyBorder="1" applyAlignment="1">
      <alignment horizontal="center"/>
    </xf>
    <xf numFmtId="2" fontId="0" fillId="0" borderId="22" xfId="0" applyNumberFormat="1" applyBorder="1" applyAlignment="1">
      <alignment horizontal="center"/>
    </xf>
    <xf numFmtId="2" fontId="0" fillId="0" borderId="19" xfId="0" applyNumberFormat="1" applyBorder="1" applyAlignment="1">
      <alignment horizontal="center"/>
    </xf>
    <xf numFmtId="2" fontId="0" fillId="0" borderId="1" xfId="0" applyNumberFormat="1" applyBorder="1" applyAlignment="1">
      <alignment horizontal="center"/>
    </xf>
    <xf numFmtId="0" fontId="0" fillId="0" borderId="0" xfId="0" applyAlignment="1">
      <alignment horizontal="left" vertical="top" wrapText="1"/>
    </xf>
    <xf numFmtId="2" fontId="5" fillId="8" borderId="15"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5" fillId="0" borderId="0" xfId="0" applyFont="1" applyBorder="1" applyAlignment="1">
      <alignment horizontal="center"/>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9" fillId="0" borderId="0" xfId="0" applyFont="1" applyAlignment="1">
      <alignment horizontal="center"/>
    </xf>
    <xf numFmtId="0" fontId="5" fillId="0" borderId="18" xfId="0" applyFont="1" applyBorder="1" applyAlignment="1">
      <alignment horizontal="center"/>
    </xf>
    <xf numFmtId="0" fontId="14" fillId="0" borderId="0" xfId="0" applyFont="1" applyAlignment="1">
      <alignment horizontal="center"/>
    </xf>
    <xf numFmtId="0" fontId="5" fillId="9" borderId="0" xfId="0" applyFont="1" applyFill="1" applyAlignment="1" applyProtection="1">
      <alignment horizontal="left"/>
      <protection locked="0"/>
    </xf>
    <xf numFmtId="0" fontId="0" fillId="0" borderId="21" xfId="0" applyBorder="1" applyAlignment="1">
      <alignment horizontal="center"/>
    </xf>
    <xf numFmtId="0" fontId="0" fillId="0" borderId="19"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0" xfId="0" applyAlignment="1">
      <alignment/>
    </xf>
    <xf numFmtId="2" fontId="0" fillId="8" borderId="1" xfId="0" applyNumberFormat="1" applyFill="1" applyBorder="1" applyAlignment="1">
      <alignment horizontal="center"/>
    </xf>
    <xf numFmtId="0" fontId="5" fillId="0" borderId="18" xfId="0" applyFont="1" applyBorder="1" applyAlignment="1">
      <alignment horizontal="left"/>
    </xf>
    <xf numFmtId="0" fontId="5" fillId="0" borderId="0" xfId="0" applyFont="1" applyBorder="1" applyAlignment="1">
      <alignment horizontal="left"/>
    </xf>
    <xf numFmtId="0" fontId="0" fillId="9" borderId="1" xfId="0" applyFill="1" applyBorder="1" applyAlignment="1" applyProtection="1">
      <alignment horizontal="center"/>
      <protection locked="0"/>
    </xf>
    <xf numFmtId="1" fontId="0" fillId="9" borderId="21" xfId="0" applyNumberFormat="1" applyFill="1" applyBorder="1" applyAlignment="1" applyProtection="1">
      <alignment horizontal="center"/>
      <protection locked="0"/>
    </xf>
    <xf numFmtId="1" fontId="0" fillId="9" borderId="19" xfId="0" applyNumberFormat="1" applyFill="1" applyBorder="1" applyAlignment="1" applyProtection="1">
      <alignment horizontal="center"/>
      <protection locked="0"/>
    </xf>
    <xf numFmtId="0" fontId="5" fillId="0" borderId="18" xfId="0" applyFont="1" applyFill="1" applyBorder="1" applyAlignment="1">
      <alignment horizontal="left"/>
    </xf>
    <xf numFmtId="2" fontId="0" fillId="8" borderId="21" xfId="0" applyNumberFormat="1" applyFill="1" applyBorder="1" applyAlignment="1">
      <alignment horizontal="center"/>
    </xf>
    <xf numFmtId="2" fontId="0" fillId="8" borderId="19" xfId="0" applyNumberFormat="1" applyFill="1" applyBorder="1" applyAlignment="1">
      <alignment horizontal="center"/>
    </xf>
    <xf numFmtId="0" fontId="0" fillId="0" borderId="1" xfId="0" applyBorder="1" applyAlignment="1">
      <alignment/>
    </xf>
    <xf numFmtId="0" fontId="0" fillId="0" borderId="1" xfId="0" applyFill="1" applyBorder="1" applyAlignment="1">
      <alignment/>
    </xf>
    <xf numFmtId="0" fontId="0" fillId="0" borderId="21" xfId="0" applyBorder="1" applyAlignment="1">
      <alignment/>
    </xf>
    <xf numFmtId="0" fontId="0" fillId="0" borderId="19" xfId="0" applyBorder="1" applyAlignment="1">
      <alignment/>
    </xf>
    <xf numFmtId="0" fontId="0" fillId="0" borderId="21" xfId="0" applyBorder="1" applyAlignment="1">
      <alignment/>
    </xf>
    <xf numFmtId="0" fontId="0" fillId="0" borderId="22" xfId="0" applyBorder="1" applyAlignment="1">
      <alignment/>
    </xf>
    <xf numFmtId="0" fontId="0" fillId="0" borderId="21" xfId="0" applyFill="1" applyBorder="1" applyAlignment="1">
      <alignment horizontal="center"/>
    </xf>
    <xf numFmtId="0" fontId="0" fillId="0" borderId="22" xfId="0" applyFill="1" applyBorder="1" applyAlignment="1">
      <alignment horizontal="center"/>
    </xf>
    <xf numFmtId="0" fontId="0" fillId="0" borderId="19" xfId="0" applyFill="1" applyBorder="1" applyAlignment="1">
      <alignment horizontal="center"/>
    </xf>
    <xf numFmtId="0" fontId="5" fillId="0" borderId="0" xfId="0" applyFont="1" applyFill="1" applyBorder="1" applyAlignment="1">
      <alignment horizontal="center"/>
    </xf>
    <xf numFmtId="165" fontId="5" fillId="0" borderId="24" xfId="0" applyNumberFormat="1" applyFont="1" applyBorder="1" applyAlignment="1">
      <alignment horizontal="center"/>
    </xf>
    <xf numFmtId="165" fontId="5" fillId="0" borderId="25" xfId="0" applyNumberFormat="1" applyFont="1" applyBorder="1" applyAlignment="1">
      <alignment horizontal="center"/>
    </xf>
    <xf numFmtId="165" fontId="5" fillId="0" borderId="26" xfId="0" applyNumberFormat="1" applyFont="1" applyBorder="1" applyAlignment="1">
      <alignment horizontal="center"/>
    </xf>
    <xf numFmtId="1" fontId="5" fillId="0" borderId="21" xfId="0" applyNumberFormat="1" applyFont="1" applyBorder="1" applyAlignment="1">
      <alignment horizontal="left"/>
    </xf>
    <xf numFmtId="1" fontId="5" fillId="0" borderId="22" xfId="0" applyNumberFormat="1" applyFont="1" applyBorder="1" applyAlignment="1">
      <alignment horizontal="left"/>
    </xf>
    <xf numFmtId="1" fontId="5" fillId="0" borderId="19" xfId="0" applyNumberFormat="1" applyFont="1" applyBorder="1" applyAlignment="1">
      <alignment horizontal="left"/>
    </xf>
    <xf numFmtId="165" fontId="0" fillId="0" borderId="21" xfId="0" applyNumberFormat="1" applyBorder="1" applyAlignment="1">
      <alignment horizontal="left"/>
    </xf>
    <xf numFmtId="165" fontId="0" fillId="0" borderId="19" xfId="0" applyNumberFormat="1" applyBorder="1" applyAlignment="1">
      <alignment horizontal="left"/>
    </xf>
    <xf numFmtId="0" fontId="0" fillId="0" borderId="21" xfId="0" applyBorder="1" applyAlignment="1">
      <alignment horizontal="left"/>
    </xf>
    <xf numFmtId="0" fontId="0" fillId="0" borderId="19" xfId="0"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5" fillId="0" borderId="19" xfId="0" applyFont="1" applyBorder="1" applyAlignment="1">
      <alignment horizontal="left"/>
    </xf>
    <xf numFmtId="1" fontId="5" fillId="0" borderId="1" xfId="0" applyNumberFormat="1" applyFont="1" applyBorder="1" applyAlignment="1">
      <alignment horizontal="left"/>
    </xf>
    <xf numFmtId="2" fontId="5" fillId="0" borderId="0" xfId="0" applyNumberFormat="1" applyFont="1" applyBorder="1" applyAlignment="1">
      <alignment horizontal="left"/>
    </xf>
    <xf numFmtId="0" fontId="5" fillId="0" borderId="0" xfId="0" applyFont="1" applyAlignment="1">
      <alignment/>
    </xf>
    <xf numFmtId="2" fontId="0" fillId="4" borderId="1" xfId="0" applyNumberFormat="1" applyFont="1" applyFill="1" applyBorder="1" applyAlignment="1">
      <alignment horizontal="left"/>
    </xf>
    <xf numFmtId="0" fontId="0" fillId="3" borderId="1" xfId="0" applyNumberFormat="1" applyFont="1" applyFill="1" applyBorder="1" applyAlignment="1">
      <alignment horizontal="left"/>
    </xf>
    <xf numFmtId="2" fontId="0" fillId="3" borderId="1" xfId="0" applyNumberFormat="1"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Hyperlink_NCP1030_Design_Tool_rev2_under_Development" xfId="21"/>
    <cellStyle name="Percent" xfId="22"/>
  </cellStyles>
  <dxfs count="2">
    <dxf>
      <font>
        <b/>
        <i val="0"/>
        <color rgb="FFFF0000"/>
      </font>
      <border/>
    </dxf>
    <dxf>
      <font>
        <b/>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Drain Voltage and Turns Ratio vs Duty Cycle</a:t>
            </a:r>
          </a:p>
        </c:rich>
      </c:tx>
      <c:layout/>
      <c:spPr>
        <a:noFill/>
        <a:ln>
          <a:noFill/>
        </a:ln>
      </c:spPr>
    </c:title>
    <c:plotArea>
      <c:layout>
        <c:manualLayout>
          <c:xMode val="edge"/>
          <c:yMode val="edge"/>
          <c:x val="0.0845"/>
          <c:y val="0.14725"/>
          <c:w val="0.84725"/>
          <c:h val="0.70175"/>
        </c:manualLayout>
      </c:layout>
      <c:scatterChart>
        <c:scatterStyle val="smoothMarker"/>
        <c:varyColors val="0"/>
        <c:ser>
          <c:idx val="1"/>
          <c:order val="1"/>
          <c:tx>
            <c:strRef>
              <c:f>Data2!$K$3</c:f>
              <c:strCache>
                <c:ptCount val="1"/>
                <c:pt idx="0">
                  <c:v>Vclamp (V)</c:v>
                </c:pt>
              </c:strCache>
            </c:strRef>
          </c:tx>
          <c:extLst>
            <c:ext xmlns:c14="http://schemas.microsoft.com/office/drawing/2007/8/2/chart" uri="{6F2FDCE9-48DA-4B69-8628-5D25D57E5C99}">
              <c14:invertSolidFillFmt>
                <c14:spPr>
                  <a:solidFill>
                    <a:srgbClr val="000000"/>
                  </a:solidFill>
                </c14:spPr>
              </c14:invertSolidFillFmt>
            </c:ext>
          </c:extLst>
          <c:marker>
            <c:symbol val="auto"/>
          </c:marker>
          <c:dPt>
            <c:idx val="8"/>
            <c:marker>
              <c:symbol val="auto"/>
            </c:marker>
          </c:dPt>
          <c:xVal>
            <c:numRef>
              <c:f>Data2!$I$4:$I$15</c:f>
              <c:numCache>
                <c:ptCount val="12"/>
                <c:pt idx="0">
                  <c:v>0.2</c:v>
                </c:pt>
                <c:pt idx="1">
                  <c:v>0.25</c:v>
                </c:pt>
                <c:pt idx="2">
                  <c:v>0.3</c:v>
                </c:pt>
                <c:pt idx="3">
                  <c:v>0.35</c:v>
                </c:pt>
                <c:pt idx="4">
                  <c:v>0.4</c:v>
                </c:pt>
                <c:pt idx="5">
                  <c:v>0.45</c:v>
                </c:pt>
                <c:pt idx="6">
                  <c:v>0.5</c:v>
                </c:pt>
                <c:pt idx="7">
                  <c:v>0.55</c:v>
                </c:pt>
                <c:pt idx="8">
                  <c:v>0.6</c:v>
                </c:pt>
                <c:pt idx="9">
                  <c:v>0.65</c:v>
                </c:pt>
                <c:pt idx="10">
                  <c:v>0.7</c:v>
                </c:pt>
                <c:pt idx="11">
                  <c:v>0.75</c:v>
                </c:pt>
              </c:numCache>
            </c:numRef>
          </c:xVal>
          <c:yVal>
            <c:numRef>
              <c:f>Data2!$K$4:$K$15</c:f>
              <c:numCache>
                <c:ptCount val="12"/>
                <c:pt idx="0">
                  <c:v>41.25</c:v>
                </c:pt>
                <c:pt idx="1">
                  <c:v>44</c:v>
                </c:pt>
                <c:pt idx="2">
                  <c:v>47.142857142857146</c:v>
                </c:pt>
                <c:pt idx="3">
                  <c:v>50.76923076923077</c:v>
                </c:pt>
                <c:pt idx="4">
                  <c:v>55</c:v>
                </c:pt>
                <c:pt idx="5">
                  <c:v>59.99999999999999</c:v>
                </c:pt>
                <c:pt idx="6">
                  <c:v>66</c:v>
                </c:pt>
                <c:pt idx="7">
                  <c:v>73.33333333333334</c:v>
                </c:pt>
                <c:pt idx="8">
                  <c:v>82.5</c:v>
                </c:pt>
                <c:pt idx="9">
                  <c:v>94.28571428571429</c:v>
                </c:pt>
                <c:pt idx="10">
                  <c:v>109.99999999999999</c:v>
                </c:pt>
                <c:pt idx="11">
                  <c:v>132</c:v>
                </c:pt>
              </c:numCache>
            </c:numRef>
          </c:yVal>
          <c:smooth val="1"/>
        </c:ser>
        <c:axId val="58750216"/>
        <c:axId val="58989897"/>
      </c:scatterChart>
      <c:scatterChart>
        <c:scatterStyle val="lineMarker"/>
        <c:varyColors val="0"/>
        <c:ser>
          <c:idx val="0"/>
          <c:order val="0"/>
          <c:tx>
            <c:strRef>
              <c:f>Data2!$J$3</c:f>
              <c:strCache>
                <c:ptCount val="1"/>
                <c:pt idx="0">
                  <c:v>Np/Ns1</c:v>
                </c:pt>
              </c:strCache>
            </c:strRef>
          </c:tx>
          <c:extLst>
            <c:ext xmlns:c14="http://schemas.microsoft.com/office/drawing/2007/8/2/chart" uri="{6F2FDCE9-48DA-4B69-8628-5D25D57E5C99}">
              <c14:invertSolidFillFmt>
                <c14:spPr>
                  <a:solidFill>
                    <a:srgbClr val="000000"/>
                  </a:solidFill>
                </c14:spPr>
              </c14:invertSolidFillFmt>
            </c:ext>
          </c:extLst>
          <c:xVal>
            <c:numRef>
              <c:f>Data2!$I$4:$I$15</c:f>
              <c:numCache>
                <c:ptCount val="12"/>
                <c:pt idx="0">
                  <c:v>0.2</c:v>
                </c:pt>
                <c:pt idx="1">
                  <c:v>0.25</c:v>
                </c:pt>
                <c:pt idx="2">
                  <c:v>0.3</c:v>
                </c:pt>
                <c:pt idx="3">
                  <c:v>0.35</c:v>
                </c:pt>
                <c:pt idx="4">
                  <c:v>0.4</c:v>
                </c:pt>
                <c:pt idx="5">
                  <c:v>0.45</c:v>
                </c:pt>
                <c:pt idx="6">
                  <c:v>0.5</c:v>
                </c:pt>
                <c:pt idx="7">
                  <c:v>0.55</c:v>
                </c:pt>
                <c:pt idx="8">
                  <c:v>0.6</c:v>
                </c:pt>
                <c:pt idx="9">
                  <c:v>0.65</c:v>
                </c:pt>
                <c:pt idx="10">
                  <c:v>0.7</c:v>
                </c:pt>
                <c:pt idx="11">
                  <c:v>0.75</c:v>
                </c:pt>
              </c:numCache>
            </c:numRef>
          </c:xVal>
          <c:yVal>
            <c:numRef>
              <c:f>Data2!$J$4:$J$15</c:f>
              <c:numCache>
                <c:ptCount val="12"/>
                <c:pt idx="0">
                  <c:v>1.929824561403509</c:v>
                </c:pt>
                <c:pt idx="1">
                  <c:v>2.412280701754386</c:v>
                </c:pt>
                <c:pt idx="2">
                  <c:v>2.8947368421052633</c:v>
                </c:pt>
                <c:pt idx="3">
                  <c:v>3.37719298245614</c:v>
                </c:pt>
                <c:pt idx="4">
                  <c:v>3.859649122807018</c:v>
                </c:pt>
                <c:pt idx="5">
                  <c:v>4.342105263157895</c:v>
                </c:pt>
                <c:pt idx="6">
                  <c:v>4.824561403508772</c:v>
                </c:pt>
                <c:pt idx="7">
                  <c:v>5.30701754385965</c:v>
                </c:pt>
                <c:pt idx="8">
                  <c:v>5.7894736842105265</c:v>
                </c:pt>
                <c:pt idx="9">
                  <c:v>6.271929824561403</c:v>
                </c:pt>
                <c:pt idx="10">
                  <c:v>6.75438596491228</c:v>
                </c:pt>
                <c:pt idx="11">
                  <c:v>7.236842105263158</c:v>
                </c:pt>
              </c:numCache>
            </c:numRef>
          </c:yVal>
          <c:smooth val="0"/>
        </c:ser>
        <c:axId val="61147026"/>
        <c:axId val="13452323"/>
      </c:scatterChart>
      <c:valAx>
        <c:axId val="58750216"/>
        <c:scaling>
          <c:orientation val="minMax"/>
          <c:min val="0.2"/>
        </c:scaling>
        <c:axPos val="b"/>
        <c:title>
          <c:tx>
            <c:rich>
              <a:bodyPr vert="horz" rot="0" anchor="ctr"/>
              <a:lstStyle/>
              <a:p>
                <a:pPr algn="ctr">
                  <a:defRPr/>
                </a:pPr>
                <a:r>
                  <a:rPr lang="en-US" cap="none" sz="800" b="1" i="0" u="none" baseline="0">
                    <a:latin typeface="Arial"/>
                    <a:ea typeface="Arial"/>
                    <a:cs typeface="Arial"/>
                  </a:rPr>
                  <a:t>D</a:t>
                </a:r>
                <a:r>
                  <a:rPr lang="en-US" cap="none" sz="800" b="1" i="0" u="none" baseline="-25000">
                    <a:latin typeface="Arial"/>
                    <a:ea typeface="Arial"/>
                    <a:cs typeface="Arial"/>
                  </a:rPr>
                  <a:t>max</a:t>
                </a:r>
                <a:r>
                  <a:rPr lang="en-US" cap="none" sz="800" b="1" i="0" u="none" baseline="0">
                    <a:latin typeface="Arial"/>
                    <a:ea typeface="Arial"/>
                    <a:cs typeface="Arial"/>
                  </a:rPr>
                  <a:t>, Maximum Duty Cycle</a:t>
                </a:r>
              </a:p>
            </c:rich>
          </c:tx>
          <c:layout/>
          <c:overlay val="0"/>
          <c:spPr>
            <a:noFill/>
            <a:ln>
              <a:noFill/>
            </a:ln>
          </c:spPr>
        </c:title>
        <c:majorGridlines/>
        <c:delete val="0"/>
        <c:numFmt formatCode="General" sourceLinked="1"/>
        <c:majorTickMark val="out"/>
        <c:minorTickMark val="none"/>
        <c:tickLblPos val="nextTo"/>
        <c:crossAx val="58989897"/>
        <c:crosses val="autoZero"/>
        <c:crossBetween val="midCat"/>
        <c:dispUnits/>
        <c:majorUnit val="0.1"/>
      </c:valAx>
      <c:valAx>
        <c:axId val="58989897"/>
        <c:scaling>
          <c:orientation val="minMax"/>
        </c:scaling>
        <c:axPos val="l"/>
        <c:title>
          <c:tx>
            <c:rich>
              <a:bodyPr vert="horz" rot="-5400000" anchor="ctr"/>
              <a:lstStyle/>
              <a:p>
                <a:pPr algn="ctr">
                  <a:defRPr/>
                </a:pPr>
                <a:r>
                  <a:rPr lang="en-US" cap="none" sz="800" b="1" i="0" u="none" baseline="0">
                    <a:latin typeface="Arial"/>
                    <a:ea typeface="Arial"/>
                    <a:cs typeface="Arial"/>
                  </a:rPr>
                  <a:t>V</a:t>
                </a:r>
                <a:r>
                  <a:rPr lang="en-US" cap="none" sz="800" b="1" i="0" u="none" baseline="-25000">
                    <a:latin typeface="Arial"/>
                    <a:ea typeface="Arial"/>
                    <a:cs typeface="Arial"/>
                  </a:rPr>
                  <a:t>DS</a:t>
                </a:r>
                <a:r>
                  <a:rPr lang="en-US" cap="none" sz="800" b="1" i="0" u="none" baseline="0">
                    <a:latin typeface="Arial"/>
                    <a:ea typeface="Arial"/>
                    <a:cs typeface="Arial"/>
                  </a:rPr>
                  <a:t>, Drain Voltage (V)</a:t>
                </a:r>
              </a:p>
            </c:rich>
          </c:tx>
          <c:layout/>
          <c:overlay val="0"/>
          <c:spPr>
            <a:noFill/>
            <a:ln>
              <a:noFill/>
            </a:ln>
          </c:spPr>
        </c:title>
        <c:majorGridlines/>
        <c:delete val="0"/>
        <c:numFmt formatCode="0" sourceLinked="0"/>
        <c:majorTickMark val="out"/>
        <c:minorTickMark val="none"/>
        <c:tickLblPos val="nextTo"/>
        <c:crossAx val="58750216"/>
        <c:crosses val="autoZero"/>
        <c:crossBetween val="midCat"/>
        <c:dispUnits/>
      </c:valAx>
      <c:valAx>
        <c:axId val="61147026"/>
        <c:scaling>
          <c:orientation val="minMax"/>
        </c:scaling>
        <c:axPos val="b"/>
        <c:delete val="1"/>
        <c:majorTickMark val="in"/>
        <c:minorTickMark val="none"/>
        <c:tickLblPos val="nextTo"/>
        <c:crossAx val="13452323"/>
        <c:crosses val="max"/>
        <c:crossBetween val="midCat"/>
        <c:dispUnits/>
      </c:valAx>
      <c:valAx>
        <c:axId val="13452323"/>
        <c:scaling>
          <c:orientation val="minMax"/>
          <c:min val="1"/>
        </c:scaling>
        <c:axPos val="l"/>
        <c:title>
          <c:tx>
            <c:rich>
              <a:bodyPr vert="horz" rot="-5400000" anchor="ctr"/>
              <a:lstStyle/>
              <a:p>
                <a:pPr algn="ctr">
                  <a:defRPr/>
                </a:pPr>
                <a:r>
                  <a:rPr lang="en-US" cap="none" sz="800" b="1" i="0" u="none" baseline="0">
                    <a:latin typeface="Arial"/>
                    <a:ea typeface="Arial"/>
                    <a:cs typeface="Arial"/>
                  </a:rPr>
                  <a:t>Turns Ratio</a:t>
                </a:r>
              </a:p>
            </c:rich>
          </c:tx>
          <c:layout/>
          <c:overlay val="0"/>
          <c:spPr>
            <a:noFill/>
            <a:ln>
              <a:noFill/>
            </a:ln>
          </c:spPr>
        </c:title>
        <c:delete val="0"/>
        <c:numFmt formatCode="0.0" sourceLinked="0"/>
        <c:majorTickMark val="in"/>
        <c:minorTickMark val="none"/>
        <c:tickLblPos val="nextTo"/>
        <c:crossAx val="61147026"/>
        <c:crosses val="max"/>
        <c:crossBetween val="midCat"/>
        <c:dispUnits/>
      </c:valAx>
      <c:spPr>
        <a:noFill/>
        <a:ln w="12700">
          <a:solidFill>
            <a:srgbClr val="808080"/>
          </a:solidFill>
        </a:ln>
      </c:spPr>
    </c:plotArea>
    <c:legend>
      <c:legendPos val="r"/>
      <c:layout>
        <c:manualLayout>
          <c:xMode val="edge"/>
          <c:yMode val="edge"/>
          <c:x val="0.2595"/>
          <c:y val="0.923"/>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Frequency vs R</a:t>
            </a:r>
            <a:r>
              <a:rPr lang="en-US" cap="none" sz="800" b="1" i="0" u="none" baseline="-25000">
                <a:latin typeface="Arial"/>
                <a:ea typeface="Arial"/>
                <a:cs typeface="Arial"/>
              </a:rPr>
              <a:t>T</a:t>
            </a:r>
          </a:p>
        </c:rich>
      </c:tx>
      <c:layout/>
      <c:spPr>
        <a:noFill/>
        <a:ln>
          <a:noFill/>
        </a:ln>
      </c:spPr>
    </c:title>
    <c:plotArea>
      <c:layout>
        <c:manualLayout>
          <c:xMode val="edge"/>
          <c:yMode val="edge"/>
          <c:x val="0.07475"/>
          <c:y val="0.07375"/>
          <c:w val="0.914"/>
          <c:h val="0.761"/>
        </c:manualLayout>
      </c:layout>
      <c:scatterChart>
        <c:scatterStyle val="smoothMarker"/>
        <c:varyColors val="0"/>
        <c:ser>
          <c:idx val="0"/>
          <c:order val="0"/>
          <c:tx>
            <c:strRef>
              <c:f>Data3!$C$79</c:f>
              <c:strCache>
                <c:ptCount val="1"/>
                <c:pt idx="0">
                  <c:v>CT = 270 pF</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Data3!$A$29:$A$44</c:f>
              <c:numCache>
                <c:ptCount val="16"/>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numCache>
            </c:numRef>
          </c:xVal>
          <c:yVal>
            <c:numRef>
              <c:f>Data3!$J$29:$J$44</c:f>
              <c:numCache>
                <c:ptCount val="16"/>
                <c:pt idx="0">
                  <c:v>456.7228634030428</c:v>
                </c:pt>
                <c:pt idx="1">
                  <c:v>445.2762471879517</c:v>
                </c:pt>
                <c:pt idx="2">
                  <c:v>420.8504935222476</c:v>
                </c:pt>
                <c:pt idx="3">
                  <c:v>393.81887222642064</c:v>
                </c:pt>
                <c:pt idx="4">
                  <c:v>367.6831878377455</c:v>
                </c:pt>
                <c:pt idx="5">
                  <c:v>343.5740026761824</c:v>
                </c:pt>
                <c:pt idx="6">
                  <c:v>321.7405935527272</c:v>
                </c:pt>
                <c:pt idx="7">
                  <c:v>302.10110940913853</c:v>
                </c:pt>
                <c:pt idx="8">
                  <c:v>284.4592093271099</c:v>
                </c:pt>
                <c:pt idx="9">
                  <c:v>268.5917729632625</c:v>
                </c:pt>
                <c:pt idx="10">
                  <c:v>254.28383665602357</c:v>
                </c:pt>
                <c:pt idx="11">
                  <c:v>241.34119596024198</c:v>
                </c:pt>
                <c:pt idx="12">
                  <c:v>229.5934867964432</c:v>
                </c:pt>
                <c:pt idx="13">
                  <c:v>218.89332769901677</c:v>
                </c:pt>
                <c:pt idx="14">
                  <c:v>209.1139981894441</c:v>
                </c:pt>
                <c:pt idx="15">
                  <c:v>200.14674611157707</c:v>
                </c:pt>
              </c:numCache>
            </c:numRef>
          </c:yVal>
          <c:smooth val="1"/>
        </c:ser>
        <c:ser>
          <c:idx val="1"/>
          <c:order val="1"/>
          <c:tx>
            <c:strRef>
              <c:f>Data3!$D$79</c:f>
              <c:strCache>
                <c:ptCount val="1"/>
                <c:pt idx="0">
                  <c:v>CT = 300 pF</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Data3!$A$45:$A$60</c:f>
              <c:numCache>
                <c:ptCount val="16"/>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numCache>
            </c:numRef>
          </c:xVal>
          <c:yVal>
            <c:numRef>
              <c:f>Data3!$J$45:$J$60</c:f>
              <c:numCache>
                <c:ptCount val="16"/>
                <c:pt idx="0">
                  <c:v>411.0505770627385</c:v>
                </c:pt>
                <c:pt idx="1">
                  <c:v>400.7486224691566</c:v>
                </c:pt>
                <c:pt idx="2">
                  <c:v>378.7654441700229</c:v>
                </c:pt>
                <c:pt idx="3">
                  <c:v>354.4369850037785</c:v>
                </c:pt>
                <c:pt idx="4">
                  <c:v>330.91486905397096</c:v>
                </c:pt>
                <c:pt idx="5">
                  <c:v>309.2166024085642</c:v>
                </c:pt>
                <c:pt idx="6">
                  <c:v>289.5665341974545</c:v>
                </c:pt>
                <c:pt idx="7">
                  <c:v>271.8909984682247</c:v>
                </c:pt>
                <c:pt idx="8">
                  <c:v>256.0132883943989</c:v>
                </c:pt>
                <c:pt idx="9">
                  <c:v>241.73259566693625</c:v>
                </c:pt>
                <c:pt idx="10">
                  <c:v>228.85545299042124</c:v>
                </c:pt>
                <c:pt idx="11">
                  <c:v>217.20707636421776</c:v>
                </c:pt>
                <c:pt idx="12">
                  <c:v>206.6341381167989</c:v>
                </c:pt>
                <c:pt idx="13">
                  <c:v>197.0039949291151</c:v>
                </c:pt>
                <c:pt idx="14">
                  <c:v>188.2025983704997</c:v>
                </c:pt>
                <c:pt idx="15">
                  <c:v>180.13207150041936</c:v>
                </c:pt>
              </c:numCache>
            </c:numRef>
          </c:yVal>
          <c:smooth val="1"/>
        </c:ser>
        <c:ser>
          <c:idx val="2"/>
          <c:order val="2"/>
          <c:tx>
            <c:strRef>
              <c:f>Data3!$E$79</c:f>
              <c:strCache>
                <c:ptCount val="1"/>
                <c:pt idx="0">
                  <c:v>CT = 330 pF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xVal>
            <c:numRef>
              <c:f>Data3!$A$61:$A$76</c:f>
              <c:numCache>
                <c:ptCount val="16"/>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numCache>
            </c:numRef>
          </c:xVal>
          <c:yVal>
            <c:numRef>
              <c:f>Data3!$J$61:$J$76</c:f>
              <c:numCache>
                <c:ptCount val="16"/>
                <c:pt idx="0">
                  <c:v>373.6823427843078</c:v>
                </c:pt>
                <c:pt idx="1">
                  <c:v>364.316929517415</c:v>
                </c:pt>
                <c:pt idx="2">
                  <c:v>344.332221972748</c:v>
                </c:pt>
                <c:pt idx="3">
                  <c:v>322.21544091252593</c:v>
                </c:pt>
                <c:pt idx="4">
                  <c:v>300.8316991399737</c:v>
                </c:pt>
                <c:pt idx="5">
                  <c:v>281.1060021896039</c:v>
                </c:pt>
                <c:pt idx="6">
                  <c:v>263.2423038158676</c:v>
                </c:pt>
                <c:pt idx="7">
                  <c:v>247.1736349711133</c:v>
                </c:pt>
                <c:pt idx="8">
                  <c:v>232.7393530858172</c:v>
                </c:pt>
                <c:pt idx="9">
                  <c:v>219.75690515176018</c:v>
                </c:pt>
                <c:pt idx="10">
                  <c:v>208.05041180947384</c:v>
                </c:pt>
                <c:pt idx="11">
                  <c:v>197.46097851292524</c:v>
                </c:pt>
                <c:pt idx="12">
                  <c:v>187.84921646981715</c:v>
                </c:pt>
                <c:pt idx="13">
                  <c:v>179.0945408446501</c:v>
                </c:pt>
                <c:pt idx="14">
                  <c:v>171.0932712459088</c:v>
                </c:pt>
                <c:pt idx="15">
                  <c:v>163.75642863674491</c:v>
                </c:pt>
              </c:numCache>
            </c:numRef>
          </c:yVal>
          <c:smooth val="1"/>
        </c:ser>
        <c:axId val="16008918"/>
        <c:axId val="9862535"/>
      </c:scatterChart>
      <c:valAx>
        <c:axId val="16008918"/>
        <c:scaling>
          <c:orientation val="minMax"/>
          <c:max val="25"/>
          <c:min val="10"/>
        </c:scaling>
        <c:axPos val="b"/>
        <c:title>
          <c:tx>
            <c:rich>
              <a:bodyPr vert="horz" rot="0" anchor="ctr"/>
              <a:lstStyle/>
              <a:p>
                <a:pPr algn="ctr">
                  <a:defRPr/>
                </a:pPr>
                <a:r>
                  <a:rPr lang="en-US" cap="none" sz="800" b="0" i="0" u="none" baseline="0">
                    <a:latin typeface="Arial"/>
                    <a:ea typeface="Arial"/>
                    <a:cs typeface="Arial"/>
                  </a:rPr>
                  <a:t>R</a:t>
                </a:r>
                <a:r>
                  <a:rPr lang="en-US" cap="none" sz="800" b="0" i="0" u="none" baseline="-25000">
                    <a:latin typeface="Arial"/>
                    <a:ea typeface="Arial"/>
                    <a:cs typeface="Arial"/>
                  </a:rPr>
                  <a:t>T</a:t>
                </a:r>
                <a:r>
                  <a:rPr lang="en-US" cap="none" sz="800" b="0" i="0" u="none" baseline="0">
                    <a:latin typeface="Arial"/>
                    <a:ea typeface="Arial"/>
                    <a:cs typeface="Arial"/>
                  </a:rPr>
                  <a:t>, k</a:t>
                </a:r>
                <a:r>
                  <a:rPr lang="en-US" cap="none" sz="800" b="0" i="0" u="none" baseline="0"/>
                  <a:t>W</a:t>
                </a:r>
              </a:p>
            </c:rich>
          </c:tx>
          <c:layout/>
          <c:overlay val="0"/>
          <c:spPr>
            <a:noFill/>
            <a:ln>
              <a:noFill/>
            </a:ln>
          </c:spPr>
        </c:title>
        <c:majorGridlines/>
        <c:delete val="0"/>
        <c:numFmt formatCode="0" sourceLinked="0"/>
        <c:majorTickMark val="out"/>
        <c:minorTickMark val="none"/>
        <c:tickLblPos val="nextTo"/>
        <c:crossAx val="9862535"/>
        <c:crosses val="autoZero"/>
        <c:crossBetween val="midCat"/>
        <c:dispUnits/>
        <c:majorUnit val="1"/>
      </c:valAx>
      <c:valAx>
        <c:axId val="9862535"/>
        <c:scaling>
          <c:orientation val="minMax"/>
          <c:max val="500"/>
          <c:min val="0"/>
        </c:scaling>
        <c:axPos val="l"/>
        <c:title>
          <c:tx>
            <c:rich>
              <a:bodyPr vert="horz" rot="-5400000" anchor="ctr"/>
              <a:lstStyle/>
              <a:p>
                <a:pPr algn="ctr">
                  <a:defRPr/>
                </a:pPr>
                <a:r>
                  <a:rPr lang="en-US"/>
                  <a:t>Frequency (kHz)</a:t>
                </a:r>
              </a:p>
            </c:rich>
          </c:tx>
          <c:layout/>
          <c:overlay val="0"/>
          <c:spPr>
            <a:noFill/>
            <a:ln>
              <a:noFill/>
            </a:ln>
          </c:spPr>
        </c:title>
        <c:majorGridlines/>
        <c:delete val="0"/>
        <c:numFmt formatCode="0" sourceLinked="0"/>
        <c:majorTickMark val="out"/>
        <c:minorTickMark val="none"/>
        <c:tickLblPos val="nextTo"/>
        <c:crossAx val="16008918"/>
        <c:crosses val="autoZero"/>
        <c:crossBetween val="midCat"/>
        <c:dispUnits/>
        <c:majorUnit val="50"/>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Magnitude</a:t>
            </a:r>
          </a:p>
        </c:rich>
      </c:tx>
      <c:layout/>
      <c:spPr>
        <a:noFill/>
        <a:ln>
          <a:noFill/>
        </a:ln>
      </c:spPr>
    </c:title>
    <c:plotArea>
      <c:layout>
        <c:manualLayout>
          <c:xMode val="edge"/>
          <c:yMode val="edge"/>
          <c:x val="0.0875"/>
          <c:y val="0.08525"/>
          <c:w val="0.88425"/>
          <c:h val="0.733"/>
        </c:manualLayout>
      </c:layout>
      <c:scatterChart>
        <c:scatterStyle val="smoothMarker"/>
        <c:varyColors val="0"/>
        <c:ser>
          <c:idx val="0"/>
          <c:order val="0"/>
          <c:tx>
            <c:v>System</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FreqCalculations!$A$2:$A$51</c:f>
              <c:numCache>
                <c:ptCount val="50"/>
                <c:pt idx="0">
                  <c:v>10</c:v>
                </c:pt>
                <c:pt idx="1">
                  <c:v>12.067926406393283</c:v>
                </c:pt>
                <c:pt idx="2">
                  <c:v>14.563484775012428</c:v>
                </c:pt>
                <c:pt idx="3">
                  <c:v>17.57510624854791</c:v>
                </c:pt>
                <c:pt idx="4">
                  <c:v>21.209508879201906</c:v>
                </c:pt>
                <c:pt idx="5">
                  <c:v>25.595479226995344</c:v>
                </c:pt>
                <c:pt idx="6">
                  <c:v>30.888435964774786</c:v>
                </c:pt>
                <c:pt idx="7">
                  <c:v>37.27593720314938</c:v>
                </c:pt>
                <c:pt idx="8">
                  <c:v>44.98432668969444</c:v>
                </c:pt>
                <c:pt idx="9">
                  <c:v>54.28675439323857</c:v>
                </c:pt>
                <c:pt idx="10">
                  <c:v>65.51285568595506</c:v>
                </c:pt>
                <c:pt idx="11">
                  <c:v>79.06043210907694</c:v>
                </c:pt>
                <c:pt idx="12">
                  <c:v>95.40954763499934</c:v>
                </c:pt>
                <c:pt idx="13">
                  <c:v>115.13953993264457</c:v>
                </c:pt>
                <c:pt idx="14">
                  <c:v>138.9495494373136</c:v>
                </c:pt>
                <c:pt idx="15">
                  <c:v>167.68329368110065</c:v>
                </c:pt>
                <c:pt idx="16">
                  <c:v>202.35896477251555</c:v>
                </c:pt>
                <c:pt idx="17">
                  <c:v>244.205309454865</c:v>
                </c:pt>
                <c:pt idx="18">
                  <c:v>294.7051702551807</c:v>
                </c:pt>
                <c:pt idx="19">
                  <c:v>355.6480306223125</c:v>
                </c:pt>
                <c:pt idx="20">
                  <c:v>429.1934260128774</c:v>
                </c:pt>
                <c:pt idx="21">
                  <c:v>517.9474679231207</c:v>
                </c:pt>
                <c:pt idx="22">
                  <c:v>625.0551925273969</c:v>
                </c:pt>
                <c:pt idx="23">
                  <c:v>754.3120063354608</c:v>
                </c:pt>
                <c:pt idx="24">
                  <c:v>910.2981779915208</c:v>
                </c:pt>
                <c:pt idx="25">
                  <c:v>1098.5411419875572</c:v>
                </c:pt>
                <c:pt idx="26">
                  <c:v>1325.7113655901069</c:v>
                </c:pt>
                <c:pt idx="27">
                  <c:v>1599.8587196060557</c:v>
                </c:pt>
                <c:pt idx="28">
                  <c:v>1930.6977288832477</c:v>
                </c:pt>
                <c:pt idx="29">
                  <c:v>2329.9518105153693</c:v>
                </c:pt>
                <c:pt idx="30">
                  <c:v>2811.768697974228</c:v>
                </c:pt>
                <c:pt idx="31">
                  <c:v>3393.221771895323</c:v>
                </c:pt>
                <c:pt idx="32">
                  <c:v>4094.915062380419</c:v>
                </c:pt>
                <c:pt idx="33">
                  <c:v>4941.713361323828</c:v>
                </c:pt>
                <c:pt idx="34">
                  <c:v>5963.623316594637</c:v>
                </c:pt>
                <c:pt idx="35">
                  <c:v>7196.856730011514</c:v>
                </c:pt>
                <c:pt idx="36">
                  <c:v>8685.113737513511</c:v>
                </c:pt>
                <c:pt idx="37">
                  <c:v>10481.13134154683</c:v>
                </c:pt>
                <c:pt idx="38">
                  <c:v>12648.552168552933</c:v>
                </c:pt>
                <c:pt idx="39">
                  <c:v>15264.179671752303</c:v>
                </c:pt>
                <c:pt idx="40">
                  <c:v>18420.699693267125</c:v>
                </c:pt>
                <c:pt idx="41">
                  <c:v>22229.96482526191</c:v>
                </c:pt>
                <c:pt idx="42">
                  <c:v>26826.95795279722</c:v>
                </c:pt>
                <c:pt idx="43">
                  <c:v>32374.5754281764</c:v>
                </c:pt>
                <c:pt idx="44">
                  <c:v>39069.39937054613</c:v>
                </c:pt>
                <c:pt idx="45">
                  <c:v>47148.663634573895</c:v>
                </c:pt>
                <c:pt idx="46">
                  <c:v>56898.660290182816</c:v>
                </c:pt>
                <c:pt idx="47">
                  <c:v>68664.88450042985</c:v>
                </c:pt>
                <c:pt idx="48">
                  <c:v>82864.27728546826</c:v>
                </c:pt>
                <c:pt idx="49">
                  <c:v>99999.99999999959</c:v>
                </c:pt>
              </c:numCache>
            </c:numRef>
          </c:xVal>
          <c:yVal>
            <c:numRef>
              <c:f>FreqCalculations!$B$2:$B$51</c:f>
              <c:numCache>
                <c:ptCount val="50"/>
                <c:pt idx="0">
                  <c:v>20.602833736813597</c:v>
                </c:pt>
                <c:pt idx="1">
                  <c:v>20.60284604437293</c:v>
                </c:pt>
                <c:pt idx="2">
                  <c:v>20.602863968497704</c:v>
                </c:pt>
                <c:pt idx="3">
                  <c:v>20.60289007233206</c:v>
                </c:pt>
                <c:pt idx="4">
                  <c:v>20.60292808874409</c:v>
                </c:pt>
                <c:pt idx="5">
                  <c:v>20.602983454169134</c:v>
                </c:pt>
                <c:pt idx="6">
                  <c:v>20.603064086118177</c:v>
                </c:pt>
                <c:pt idx="7">
                  <c:v>20.603181515599697</c:v>
                </c:pt>
                <c:pt idx="8">
                  <c:v>20.60335253653005</c:v>
                </c:pt>
                <c:pt idx="9">
                  <c:v>20.60360160829381</c:v>
                </c:pt>
                <c:pt idx="10">
                  <c:v>20.60396435565132</c:v>
                </c:pt>
                <c:pt idx="11">
                  <c:v>20.604492667822498</c:v>
                </c:pt>
                <c:pt idx="12">
                  <c:v>20.605262128770736</c:v>
                </c:pt>
                <c:pt idx="13">
                  <c:v>20.606382847284056</c:v>
                </c:pt>
                <c:pt idx="14">
                  <c:v>20.608015248444474</c:v>
                </c:pt>
                <c:pt idx="15">
                  <c:v>20.610393112051405</c:v>
                </c:pt>
                <c:pt idx="16">
                  <c:v>20.61385721069307</c:v>
                </c:pt>
                <c:pt idx="17">
                  <c:v>20.618904481461787</c:v>
                </c:pt>
                <c:pt idx="18">
                  <c:v>20.62626002624266</c:v>
                </c:pt>
                <c:pt idx="19">
                  <c:v>20.63698279792176</c:v>
                </c:pt>
                <c:pt idx="20">
                  <c:v>20.652621284381983</c:v>
                </c:pt>
                <c:pt idx="21">
                  <c:v>20.675444020988852</c:v>
                </c:pt>
                <c:pt idx="22">
                  <c:v>20.708783420231672</c:v>
                </c:pt>
                <c:pt idx="23">
                  <c:v>20.75755405240277</c:v>
                </c:pt>
                <c:pt idx="24">
                  <c:v>20.82904565044376</c:v>
                </c:pt>
                <c:pt idx="25">
                  <c:v>20.934162201229118</c:v>
                </c:pt>
                <c:pt idx="26">
                  <c:v>21.08941525636812</c:v>
                </c:pt>
                <c:pt idx="27">
                  <c:v>21.32026058154878</c:v>
                </c:pt>
                <c:pt idx="28">
                  <c:v>21.666989292395385</c:v>
                </c:pt>
                <c:pt idx="29">
                  <c:v>22.195884633614522</c:v>
                </c:pt>
                <c:pt idx="30">
                  <c:v>23.02233972385679</c:v>
                </c:pt>
                <c:pt idx="31">
                  <c:v>24.364230422492355</c:v>
                </c:pt>
                <c:pt idx="32">
                  <c:v>26.675085347169073</c:v>
                </c:pt>
                <c:pt idx="33">
                  <c:v>30.71832194895858</c:v>
                </c:pt>
                <c:pt idx="34">
                  <c:v>30.578170541457187</c:v>
                </c:pt>
                <c:pt idx="35">
                  <c:v>22.952501774968077</c:v>
                </c:pt>
                <c:pt idx="36">
                  <c:v>16.94932771924425</c:v>
                </c:pt>
                <c:pt idx="37">
                  <c:v>12.077595060257762</c:v>
                </c:pt>
                <c:pt idx="38">
                  <c:v>7.778444513211013</c:v>
                </c:pt>
                <c:pt idx="39">
                  <c:v>3.779859647468031</c:v>
                </c:pt>
                <c:pt idx="40">
                  <c:v>-0.06762456433492081</c:v>
                </c:pt>
                <c:pt idx="41">
                  <c:v>-3.8579722208020097</c:v>
                </c:pt>
                <c:pt idx="42">
                  <c:v>-7.656998465533753</c:v>
                </c:pt>
                <c:pt idx="43">
                  <c:v>-11.513466321536947</c:v>
                </c:pt>
                <c:pt idx="44">
                  <c:v>-15.462459872628198</c:v>
                </c:pt>
                <c:pt idx="45">
                  <c:v>-19.52511181255881</c:v>
                </c:pt>
                <c:pt idx="46">
                  <c:v>-23.70755353453646</c:v>
                </c:pt>
                <c:pt idx="47">
                  <c:v>-28.001153518044383</c:v>
                </c:pt>
                <c:pt idx="48">
                  <c:v>-32.384768192266584</c:v>
                </c:pt>
                <c:pt idx="49">
                  <c:v>-36.82832005414906</c:v>
                </c:pt>
              </c:numCache>
            </c:numRef>
          </c:yVal>
          <c:smooth val="1"/>
        </c:ser>
        <c:ser>
          <c:idx val="1"/>
          <c:order val="1"/>
          <c:tx>
            <c:v>Compensation Network</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FreqCalculations!$A$2:$A$51</c:f>
              <c:numCache>
                <c:ptCount val="50"/>
                <c:pt idx="0">
                  <c:v>10</c:v>
                </c:pt>
                <c:pt idx="1">
                  <c:v>12.067926406393283</c:v>
                </c:pt>
                <c:pt idx="2">
                  <c:v>14.563484775012428</c:v>
                </c:pt>
                <c:pt idx="3">
                  <c:v>17.57510624854791</c:v>
                </c:pt>
                <c:pt idx="4">
                  <c:v>21.209508879201906</c:v>
                </c:pt>
                <c:pt idx="5">
                  <c:v>25.595479226995344</c:v>
                </c:pt>
                <c:pt idx="6">
                  <c:v>30.888435964774786</c:v>
                </c:pt>
                <c:pt idx="7">
                  <c:v>37.27593720314938</c:v>
                </c:pt>
                <c:pt idx="8">
                  <c:v>44.98432668969444</c:v>
                </c:pt>
                <c:pt idx="9">
                  <c:v>54.28675439323857</c:v>
                </c:pt>
                <c:pt idx="10">
                  <c:v>65.51285568595506</c:v>
                </c:pt>
                <c:pt idx="11">
                  <c:v>79.06043210907694</c:v>
                </c:pt>
                <c:pt idx="12">
                  <c:v>95.40954763499934</c:v>
                </c:pt>
                <c:pt idx="13">
                  <c:v>115.13953993264457</c:v>
                </c:pt>
                <c:pt idx="14">
                  <c:v>138.9495494373136</c:v>
                </c:pt>
                <c:pt idx="15">
                  <c:v>167.68329368110065</c:v>
                </c:pt>
                <c:pt idx="16">
                  <c:v>202.35896477251555</c:v>
                </c:pt>
                <c:pt idx="17">
                  <c:v>244.205309454865</c:v>
                </c:pt>
                <c:pt idx="18">
                  <c:v>294.7051702551807</c:v>
                </c:pt>
                <c:pt idx="19">
                  <c:v>355.6480306223125</c:v>
                </c:pt>
                <c:pt idx="20">
                  <c:v>429.1934260128774</c:v>
                </c:pt>
                <c:pt idx="21">
                  <c:v>517.9474679231207</c:v>
                </c:pt>
                <c:pt idx="22">
                  <c:v>625.0551925273969</c:v>
                </c:pt>
                <c:pt idx="23">
                  <c:v>754.3120063354608</c:v>
                </c:pt>
                <c:pt idx="24">
                  <c:v>910.2981779915208</c:v>
                </c:pt>
                <c:pt idx="25">
                  <c:v>1098.5411419875572</c:v>
                </c:pt>
                <c:pt idx="26">
                  <c:v>1325.7113655901069</c:v>
                </c:pt>
                <c:pt idx="27">
                  <c:v>1599.8587196060557</c:v>
                </c:pt>
                <c:pt idx="28">
                  <c:v>1930.6977288832477</c:v>
                </c:pt>
                <c:pt idx="29">
                  <c:v>2329.9518105153693</c:v>
                </c:pt>
                <c:pt idx="30">
                  <c:v>2811.768697974228</c:v>
                </c:pt>
                <c:pt idx="31">
                  <c:v>3393.221771895323</c:v>
                </c:pt>
                <c:pt idx="32">
                  <c:v>4094.915062380419</c:v>
                </c:pt>
                <c:pt idx="33">
                  <c:v>4941.713361323828</c:v>
                </c:pt>
                <c:pt idx="34">
                  <c:v>5963.623316594637</c:v>
                </c:pt>
                <c:pt idx="35">
                  <c:v>7196.856730011514</c:v>
                </c:pt>
                <c:pt idx="36">
                  <c:v>8685.113737513511</c:v>
                </c:pt>
                <c:pt idx="37">
                  <c:v>10481.13134154683</c:v>
                </c:pt>
                <c:pt idx="38">
                  <c:v>12648.552168552933</c:v>
                </c:pt>
                <c:pt idx="39">
                  <c:v>15264.179671752303</c:v>
                </c:pt>
                <c:pt idx="40">
                  <c:v>18420.699693267125</c:v>
                </c:pt>
                <c:pt idx="41">
                  <c:v>22229.96482526191</c:v>
                </c:pt>
                <c:pt idx="42">
                  <c:v>26826.95795279722</c:v>
                </c:pt>
                <c:pt idx="43">
                  <c:v>32374.5754281764</c:v>
                </c:pt>
                <c:pt idx="44">
                  <c:v>39069.39937054613</c:v>
                </c:pt>
                <c:pt idx="45">
                  <c:v>47148.663634573895</c:v>
                </c:pt>
                <c:pt idx="46">
                  <c:v>56898.660290182816</c:v>
                </c:pt>
                <c:pt idx="47">
                  <c:v>68664.88450042985</c:v>
                </c:pt>
                <c:pt idx="48">
                  <c:v>82864.27728546826</c:v>
                </c:pt>
                <c:pt idx="49">
                  <c:v>99999.99999999959</c:v>
                </c:pt>
              </c:numCache>
            </c:numRef>
          </c:xVal>
          <c:yVal>
            <c:numRef>
              <c:f>FreqCalculations!$C$2:$C$51</c:f>
              <c:numCache>
                <c:ptCount val="50"/>
                <c:pt idx="0">
                  <c:v>24.699607590452164</c:v>
                </c:pt>
                <c:pt idx="1">
                  <c:v>23.067810253478275</c:v>
                </c:pt>
                <c:pt idx="2">
                  <c:v>21.436403124899233</c:v>
                </c:pt>
                <c:pt idx="3">
                  <c:v>19.80556393974632</c:v>
                </c:pt>
                <c:pt idx="4">
                  <c:v>18.17555116634516</c:v>
                </c:pt>
                <c:pt idx="5">
                  <c:v>16.546740429216893</c:v>
                </c:pt>
                <c:pt idx="6">
                  <c:v>14.919677086592596</c:v>
                </c:pt>
                <c:pt idx="7">
                  <c:v>13.295151818417953</c:v>
                </c:pt>
                <c:pt idx="8">
                  <c:v>11.674308645416685</c:v>
                </c:pt>
                <c:pt idx="9">
                  <c:v>10.058797932753587</c:v>
                </c:pt>
                <c:pt idx="10">
                  <c:v>8.450990278023278</c:v>
                </c:pt>
                <c:pt idx="11">
                  <c:v>6.854269655621237</c:v>
                </c:pt>
                <c:pt idx="12">
                  <c:v>5.273423218725482</c:v>
                </c:pt>
                <c:pt idx="13">
                  <c:v>3.715135520481603</c:v>
                </c:pt>
                <c:pt idx="14">
                  <c:v>2.188567408206122</c:v>
                </c:pt>
                <c:pt idx="15">
                  <c:v>0.7059413155668137</c:v>
                </c:pt>
                <c:pt idx="16">
                  <c:v>-0.7170464772391338</c:v>
                </c:pt>
                <c:pt idx="17">
                  <c:v>-2.0613014953768705</c:v>
                </c:pt>
                <c:pt idx="18">
                  <c:v>-3.3053155829483036</c:v>
                </c:pt>
                <c:pt idx="19">
                  <c:v>-4.427409594575341</c:v>
                </c:pt>
                <c:pt idx="20">
                  <c:v>-5.409157975951441</c:v>
                </c:pt>
                <c:pt idx="21">
                  <c:v>-6.239159519721707</c:v>
                </c:pt>
                <c:pt idx="22">
                  <c:v>-6.915685159906094</c:v>
                </c:pt>
                <c:pt idx="23">
                  <c:v>-7.446913119476933</c:v>
                </c:pt>
                <c:pt idx="24">
                  <c:v>-7.84858418022924</c:v>
                </c:pt>
                <c:pt idx="25">
                  <c:v>-8.140157851531526</c:v>
                </c:pt>
                <c:pt idx="26">
                  <c:v>-8.34096814169659</c:v>
                </c:pt>
                <c:pt idx="27">
                  <c:v>-8.467373850713072</c:v>
                </c:pt>
                <c:pt idx="28">
                  <c:v>-8.53111225819667</c:v>
                </c:pt>
                <c:pt idx="29">
                  <c:v>-8.538558157884145</c:v>
                </c:pt>
                <c:pt idx="30">
                  <c:v>-8.490478219068434</c:v>
                </c:pt>
                <c:pt idx="31">
                  <c:v>-8.382009682665643</c:v>
                </c:pt>
                <c:pt idx="32">
                  <c:v>-8.202829359237978</c:v>
                </c:pt>
                <c:pt idx="33">
                  <c:v>-7.937725168247973</c:v>
                </c:pt>
                <c:pt idx="34">
                  <c:v>-7.56796019365138</c:v>
                </c:pt>
                <c:pt idx="35">
                  <c:v>-7.073792859332263</c:v>
                </c:pt>
                <c:pt idx="36">
                  <c:v>-6.43812165088477</c:v>
                </c:pt>
                <c:pt idx="37">
                  <c:v>-5.650475048814875</c:v>
                </c:pt>
                <c:pt idx="38">
                  <c:v>-4.709914034450554</c:v>
                </c:pt>
                <c:pt idx="39">
                  <c:v>-3.625549857939337</c:v>
                </c:pt>
                <c:pt idx="40">
                  <c:v>-2.414473745523017</c:v>
                </c:pt>
                <c:pt idx="41">
                  <c:v>-1.0981617882059285</c:v>
                </c:pt>
                <c:pt idx="42">
                  <c:v>0.30111757361791885</c:v>
                </c:pt>
                <c:pt idx="43">
                  <c:v>1.7628392017943946</c:v>
                </c:pt>
                <c:pt idx="44">
                  <c:v>3.2694336012538905</c:v>
                </c:pt>
                <c:pt idx="45">
                  <c:v>4.806439946654715</c:v>
                </c:pt>
                <c:pt idx="46">
                  <c:v>6.362013026184507</c:v>
                </c:pt>
                <c:pt idx="47">
                  <c:v>7.9261180354420935</c:v>
                </c:pt>
                <c:pt idx="48">
                  <c:v>9.489608610495953</c:v>
                </c:pt>
                <c:pt idx="49">
                  <c:v>11.043274471911426</c:v>
                </c:pt>
              </c:numCache>
            </c:numRef>
          </c:yVal>
          <c:smooth val="1"/>
        </c:ser>
        <c:ser>
          <c:idx val="2"/>
          <c:order val="2"/>
          <c:tx>
            <c:v>Total</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FreqCalculations!$A$2:$A$51</c:f>
              <c:numCache>
                <c:ptCount val="50"/>
                <c:pt idx="0">
                  <c:v>10</c:v>
                </c:pt>
                <c:pt idx="1">
                  <c:v>12.067926406393283</c:v>
                </c:pt>
                <c:pt idx="2">
                  <c:v>14.563484775012428</c:v>
                </c:pt>
                <c:pt idx="3">
                  <c:v>17.57510624854791</c:v>
                </c:pt>
                <c:pt idx="4">
                  <c:v>21.209508879201906</c:v>
                </c:pt>
                <c:pt idx="5">
                  <c:v>25.595479226995344</c:v>
                </c:pt>
                <c:pt idx="6">
                  <c:v>30.888435964774786</c:v>
                </c:pt>
                <c:pt idx="7">
                  <c:v>37.27593720314938</c:v>
                </c:pt>
                <c:pt idx="8">
                  <c:v>44.98432668969444</c:v>
                </c:pt>
                <c:pt idx="9">
                  <c:v>54.28675439323857</c:v>
                </c:pt>
                <c:pt idx="10">
                  <c:v>65.51285568595506</c:v>
                </c:pt>
                <c:pt idx="11">
                  <c:v>79.06043210907694</c:v>
                </c:pt>
                <c:pt idx="12">
                  <c:v>95.40954763499934</c:v>
                </c:pt>
                <c:pt idx="13">
                  <c:v>115.13953993264457</c:v>
                </c:pt>
                <c:pt idx="14">
                  <c:v>138.9495494373136</c:v>
                </c:pt>
                <c:pt idx="15">
                  <c:v>167.68329368110065</c:v>
                </c:pt>
                <c:pt idx="16">
                  <c:v>202.35896477251555</c:v>
                </c:pt>
                <c:pt idx="17">
                  <c:v>244.205309454865</c:v>
                </c:pt>
                <c:pt idx="18">
                  <c:v>294.7051702551807</c:v>
                </c:pt>
                <c:pt idx="19">
                  <c:v>355.6480306223125</c:v>
                </c:pt>
                <c:pt idx="20">
                  <c:v>429.1934260128774</c:v>
                </c:pt>
                <c:pt idx="21">
                  <c:v>517.9474679231207</c:v>
                </c:pt>
                <c:pt idx="22">
                  <c:v>625.0551925273969</c:v>
                </c:pt>
                <c:pt idx="23">
                  <c:v>754.3120063354608</c:v>
                </c:pt>
                <c:pt idx="24">
                  <c:v>910.2981779915208</c:v>
                </c:pt>
                <c:pt idx="25">
                  <c:v>1098.5411419875572</c:v>
                </c:pt>
                <c:pt idx="26">
                  <c:v>1325.7113655901069</c:v>
                </c:pt>
                <c:pt idx="27">
                  <c:v>1599.8587196060557</c:v>
                </c:pt>
                <c:pt idx="28">
                  <c:v>1930.6977288832477</c:v>
                </c:pt>
                <c:pt idx="29">
                  <c:v>2329.9518105153693</c:v>
                </c:pt>
                <c:pt idx="30">
                  <c:v>2811.768697974228</c:v>
                </c:pt>
                <c:pt idx="31">
                  <c:v>3393.221771895323</c:v>
                </c:pt>
                <c:pt idx="32">
                  <c:v>4094.915062380419</c:v>
                </c:pt>
                <c:pt idx="33">
                  <c:v>4941.713361323828</c:v>
                </c:pt>
                <c:pt idx="34">
                  <c:v>5963.623316594637</c:v>
                </c:pt>
                <c:pt idx="35">
                  <c:v>7196.856730011514</c:v>
                </c:pt>
                <c:pt idx="36">
                  <c:v>8685.113737513511</c:v>
                </c:pt>
                <c:pt idx="37">
                  <c:v>10481.13134154683</c:v>
                </c:pt>
                <c:pt idx="38">
                  <c:v>12648.552168552933</c:v>
                </c:pt>
                <c:pt idx="39">
                  <c:v>15264.179671752303</c:v>
                </c:pt>
                <c:pt idx="40">
                  <c:v>18420.699693267125</c:v>
                </c:pt>
                <c:pt idx="41">
                  <c:v>22229.96482526191</c:v>
                </c:pt>
                <c:pt idx="42">
                  <c:v>26826.95795279722</c:v>
                </c:pt>
                <c:pt idx="43">
                  <c:v>32374.5754281764</c:v>
                </c:pt>
                <c:pt idx="44">
                  <c:v>39069.39937054613</c:v>
                </c:pt>
                <c:pt idx="45">
                  <c:v>47148.663634573895</c:v>
                </c:pt>
                <c:pt idx="46">
                  <c:v>56898.660290182816</c:v>
                </c:pt>
                <c:pt idx="47">
                  <c:v>68664.88450042985</c:v>
                </c:pt>
                <c:pt idx="48">
                  <c:v>82864.27728546826</c:v>
                </c:pt>
                <c:pt idx="49">
                  <c:v>99999.99999999959</c:v>
                </c:pt>
              </c:numCache>
            </c:numRef>
          </c:xVal>
          <c:yVal>
            <c:numRef>
              <c:f>FreqCalculations!$D$2:$D$51</c:f>
              <c:numCache>
                <c:ptCount val="50"/>
                <c:pt idx="0">
                  <c:v>45.30244132726576</c:v>
                </c:pt>
                <c:pt idx="1">
                  <c:v>43.67065629785121</c:v>
                </c:pt>
                <c:pt idx="2">
                  <c:v>42.03926709339694</c:v>
                </c:pt>
                <c:pt idx="3">
                  <c:v>40.40845401207838</c:v>
                </c:pt>
                <c:pt idx="4">
                  <c:v>38.77847925508925</c:v>
                </c:pt>
                <c:pt idx="5">
                  <c:v>37.14972388338603</c:v>
                </c:pt>
                <c:pt idx="6">
                  <c:v>35.522741172710774</c:v>
                </c:pt>
                <c:pt idx="7">
                  <c:v>33.89833333401765</c:v>
                </c:pt>
                <c:pt idx="8">
                  <c:v>32.27766118194673</c:v>
                </c:pt>
                <c:pt idx="9">
                  <c:v>30.6623995410474</c:v>
                </c:pt>
                <c:pt idx="10">
                  <c:v>29.054954633674598</c:v>
                </c:pt>
                <c:pt idx="11">
                  <c:v>27.458762323443736</c:v>
                </c:pt>
                <c:pt idx="12">
                  <c:v>25.87868534749622</c:v>
                </c:pt>
                <c:pt idx="13">
                  <c:v>24.32151836776566</c:v>
                </c:pt>
                <c:pt idx="14">
                  <c:v>22.796582656650596</c:v>
                </c:pt>
                <c:pt idx="15">
                  <c:v>21.31633442761822</c:v>
                </c:pt>
                <c:pt idx="16">
                  <c:v>19.896810733453936</c:v>
                </c:pt>
                <c:pt idx="17">
                  <c:v>18.557602986084916</c:v>
                </c:pt>
                <c:pt idx="18">
                  <c:v>17.32094444329436</c:v>
                </c:pt>
                <c:pt idx="19">
                  <c:v>16.20957320334642</c:v>
                </c:pt>
                <c:pt idx="20">
                  <c:v>15.243463308430542</c:v>
                </c:pt>
                <c:pt idx="21">
                  <c:v>14.436284501267146</c:v>
                </c:pt>
                <c:pt idx="22">
                  <c:v>13.793098260325579</c:v>
                </c:pt>
                <c:pt idx="23">
                  <c:v>13.310640932925839</c:v>
                </c:pt>
                <c:pt idx="24">
                  <c:v>12.98046147021452</c:v>
                </c:pt>
                <c:pt idx="25">
                  <c:v>12.794004349697591</c:v>
                </c:pt>
                <c:pt idx="26">
                  <c:v>12.74844711467153</c:v>
                </c:pt>
                <c:pt idx="27">
                  <c:v>12.852886730835708</c:v>
                </c:pt>
                <c:pt idx="28">
                  <c:v>13.135877034198716</c:v>
                </c:pt>
                <c:pt idx="29">
                  <c:v>13.657326475730377</c:v>
                </c:pt>
                <c:pt idx="30">
                  <c:v>14.531861504788354</c:v>
                </c:pt>
                <c:pt idx="31">
                  <c:v>15.982220739826712</c:v>
                </c:pt>
                <c:pt idx="32">
                  <c:v>18.472255987931096</c:v>
                </c:pt>
                <c:pt idx="33">
                  <c:v>22.780596780710606</c:v>
                </c:pt>
                <c:pt idx="34">
                  <c:v>23.010210347805806</c:v>
                </c:pt>
                <c:pt idx="35">
                  <c:v>15.878708915635814</c:v>
                </c:pt>
                <c:pt idx="36">
                  <c:v>10.511206068359478</c:v>
                </c:pt>
                <c:pt idx="37">
                  <c:v>6.427120011442887</c:v>
                </c:pt>
                <c:pt idx="38">
                  <c:v>3.068530478760459</c:v>
                </c:pt>
                <c:pt idx="39">
                  <c:v>0.154309789528694</c:v>
                </c:pt>
                <c:pt idx="40">
                  <c:v>-2.482098309857938</c:v>
                </c:pt>
                <c:pt idx="41">
                  <c:v>-4.956134009007938</c:v>
                </c:pt>
                <c:pt idx="42">
                  <c:v>-7.355880891915834</c:v>
                </c:pt>
                <c:pt idx="43">
                  <c:v>-9.750627119742553</c:v>
                </c:pt>
                <c:pt idx="44">
                  <c:v>-12.193026271374308</c:v>
                </c:pt>
                <c:pt idx="45">
                  <c:v>-14.718671865904094</c:v>
                </c:pt>
                <c:pt idx="46">
                  <c:v>-17.345540508351952</c:v>
                </c:pt>
                <c:pt idx="47">
                  <c:v>-20.07503548260229</c:v>
                </c:pt>
                <c:pt idx="48">
                  <c:v>-22.89515958177063</c:v>
                </c:pt>
                <c:pt idx="49">
                  <c:v>-25.785045582237636</c:v>
                </c:pt>
              </c:numCache>
            </c:numRef>
          </c:yVal>
          <c:smooth val="1"/>
        </c:ser>
        <c:axId val="21653952"/>
        <c:axId val="60667841"/>
      </c:scatterChart>
      <c:valAx>
        <c:axId val="21653952"/>
        <c:scaling>
          <c:logBase val="10"/>
          <c:orientation val="minMax"/>
          <c:max val="100000"/>
          <c:min val="10"/>
        </c:scaling>
        <c:axPos val="b"/>
        <c:title>
          <c:tx>
            <c:rich>
              <a:bodyPr vert="horz" rot="0" anchor="ctr"/>
              <a:lstStyle/>
              <a:p>
                <a:pPr algn="ctr">
                  <a:defRPr/>
                </a:pPr>
                <a:r>
                  <a:rPr lang="en-US"/>
                  <a:t>Frequency (Hz)</a:t>
                </a:r>
              </a:p>
            </c:rich>
          </c:tx>
          <c:layout/>
          <c:overlay val="0"/>
          <c:spPr>
            <a:noFill/>
            <a:ln>
              <a:noFill/>
            </a:ln>
          </c:spPr>
        </c:title>
        <c:majorGridlines/>
        <c:minorGridlines/>
        <c:delete val="0"/>
        <c:numFmt formatCode="General" sourceLinked="1"/>
        <c:majorTickMark val="out"/>
        <c:minorTickMark val="none"/>
        <c:tickLblPos val="nextTo"/>
        <c:crossAx val="60667841"/>
        <c:crossesAt val="-140"/>
        <c:crossBetween val="midCat"/>
        <c:dispUnits/>
      </c:valAx>
      <c:valAx>
        <c:axId val="60667841"/>
        <c:scaling>
          <c:orientation val="minMax"/>
          <c:max val="50"/>
          <c:min val="-30"/>
        </c:scaling>
        <c:axPos val="l"/>
        <c:title>
          <c:tx>
            <c:rich>
              <a:bodyPr vert="horz" rot="-5400000" anchor="ctr"/>
              <a:lstStyle/>
              <a:p>
                <a:pPr algn="ctr">
                  <a:defRPr/>
                </a:pPr>
                <a:r>
                  <a:rPr lang="en-US"/>
                  <a:t>Magnitude (dB)</a:t>
                </a:r>
              </a:p>
            </c:rich>
          </c:tx>
          <c:layout/>
          <c:overlay val="0"/>
          <c:spPr>
            <a:noFill/>
            <a:ln>
              <a:noFill/>
            </a:ln>
          </c:spPr>
        </c:title>
        <c:majorGridlines/>
        <c:delete val="0"/>
        <c:numFmt formatCode="General" sourceLinked="1"/>
        <c:majorTickMark val="out"/>
        <c:minorTickMark val="none"/>
        <c:tickLblPos val="nextTo"/>
        <c:crossAx val="21653952"/>
        <c:crosses val="autoZero"/>
        <c:crossBetween val="midCat"/>
        <c:dispUnits/>
        <c:majorUnit val="10"/>
        <c:minorUnit val="1"/>
      </c:valAx>
      <c:spPr>
        <a:noFill/>
        <a:ln w="12700">
          <a:solidFill>
            <a:srgbClr val="808080"/>
          </a:solidFill>
        </a:ln>
      </c:spPr>
    </c:plotArea>
    <c:legend>
      <c:legendPos val="r"/>
      <c:layout>
        <c:manualLayout>
          <c:xMode val="edge"/>
          <c:yMode val="edge"/>
          <c:x val="0.14975"/>
          <c:y val="0.914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Phase Response</a:t>
            </a:r>
          </a:p>
        </c:rich>
      </c:tx>
      <c:layout/>
      <c:spPr>
        <a:noFill/>
        <a:ln>
          <a:noFill/>
        </a:ln>
      </c:spPr>
    </c:title>
    <c:plotArea>
      <c:layout>
        <c:manualLayout>
          <c:xMode val="edge"/>
          <c:yMode val="edge"/>
          <c:x val="0.0875"/>
          <c:y val="0.0975"/>
          <c:w val="0.91"/>
          <c:h val="0.7185"/>
        </c:manualLayout>
      </c:layout>
      <c:scatterChart>
        <c:scatterStyle val="smoothMarker"/>
        <c:varyColors val="0"/>
        <c:ser>
          <c:idx val="0"/>
          <c:order val="0"/>
          <c:tx>
            <c:v>System</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FreqCalculations!$A$2:$A$51</c:f>
              <c:numCache>
                <c:ptCount val="50"/>
                <c:pt idx="0">
                  <c:v>10</c:v>
                </c:pt>
                <c:pt idx="1">
                  <c:v>12.067926406393283</c:v>
                </c:pt>
                <c:pt idx="2">
                  <c:v>14.563484775012428</c:v>
                </c:pt>
                <c:pt idx="3">
                  <c:v>17.57510624854791</c:v>
                </c:pt>
                <c:pt idx="4">
                  <c:v>21.209508879201906</c:v>
                </c:pt>
                <c:pt idx="5">
                  <c:v>25.595479226995344</c:v>
                </c:pt>
                <c:pt idx="6">
                  <c:v>30.888435964774786</c:v>
                </c:pt>
                <c:pt idx="7">
                  <c:v>37.27593720314938</c:v>
                </c:pt>
                <c:pt idx="8">
                  <c:v>44.98432668969444</c:v>
                </c:pt>
                <c:pt idx="9">
                  <c:v>54.28675439323857</c:v>
                </c:pt>
                <c:pt idx="10">
                  <c:v>65.51285568595506</c:v>
                </c:pt>
                <c:pt idx="11">
                  <c:v>79.06043210907694</c:v>
                </c:pt>
                <c:pt idx="12">
                  <c:v>95.40954763499934</c:v>
                </c:pt>
                <c:pt idx="13">
                  <c:v>115.13953993264457</c:v>
                </c:pt>
                <c:pt idx="14">
                  <c:v>138.9495494373136</c:v>
                </c:pt>
                <c:pt idx="15">
                  <c:v>167.68329368110065</c:v>
                </c:pt>
                <c:pt idx="16">
                  <c:v>202.35896477251555</c:v>
                </c:pt>
                <c:pt idx="17">
                  <c:v>244.205309454865</c:v>
                </c:pt>
                <c:pt idx="18">
                  <c:v>294.7051702551807</c:v>
                </c:pt>
                <c:pt idx="19">
                  <c:v>355.6480306223125</c:v>
                </c:pt>
                <c:pt idx="20">
                  <c:v>429.1934260128774</c:v>
                </c:pt>
                <c:pt idx="21">
                  <c:v>517.9474679231207</c:v>
                </c:pt>
                <c:pt idx="22">
                  <c:v>625.0551925273969</c:v>
                </c:pt>
                <c:pt idx="23">
                  <c:v>754.3120063354608</c:v>
                </c:pt>
                <c:pt idx="24">
                  <c:v>910.2981779915208</c:v>
                </c:pt>
                <c:pt idx="25">
                  <c:v>1098.5411419875572</c:v>
                </c:pt>
                <c:pt idx="26">
                  <c:v>1325.7113655901069</c:v>
                </c:pt>
                <c:pt idx="27">
                  <c:v>1599.8587196060557</c:v>
                </c:pt>
                <c:pt idx="28">
                  <c:v>1930.6977288832477</c:v>
                </c:pt>
                <c:pt idx="29">
                  <c:v>2329.9518105153693</c:v>
                </c:pt>
                <c:pt idx="30">
                  <c:v>2811.768697974228</c:v>
                </c:pt>
                <c:pt idx="31">
                  <c:v>3393.221771895323</c:v>
                </c:pt>
                <c:pt idx="32">
                  <c:v>4094.915062380419</c:v>
                </c:pt>
                <c:pt idx="33">
                  <c:v>4941.713361323828</c:v>
                </c:pt>
                <c:pt idx="34">
                  <c:v>5963.623316594637</c:v>
                </c:pt>
                <c:pt idx="35">
                  <c:v>7196.856730011514</c:v>
                </c:pt>
                <c:pt idx="36">
                  <c:v>8685.113737513511</c:v>
                </c:pt>
                <c:pt idx="37">
                  <c:v>10481.13134154683</c:v>
                </c:pt>
                <c:pt idx="38">
                  <c:v>12648.552168552933</c:v>
                </c:pt>
                <c:pt idx="39">
                  <c:v>15264.179671752303</c:v>
                </c:pt>
                <c:pt idx="40">
                  <c:v>18420.699693267125</c:v>
                </c:pt>
                <c:pt idx="41">
                  <c:v>22229.96482526191</c:v>
                </c:pt>
                <c:pt idx="42">
                  <c:v>26826.95795279722</c:v>
                </c:pt>
                <c:pt idx="43">
                  <c:v>32374.5754281764</c:v>
                </c:pt>
                <c:pt idx="44">
                  <c:v>39069.39937054613</c:v>
                </c:pt>
                <c:pt idx="45">
                  <c:v>47148.663634573895</c:v>
                </c:pt>
                <c:pt idx="46">
                  <c:v>56898.660290182816</c:v>
                </c:pt>
                <c:pt idx="47">
                  <c:v>68664.88450042985</c:v>
                </c:pt>
                <c:pt idx="48">
                  <c:v>82864.27728546826</c:v>
                </c:pt>
                <c:pt idx="49">
                  <c:v>99999.99999999959</c:v>
                </c:pt>
              </c:numCache>
            </c:numRef>
          </c:xVal>
          <c:yVal>
            <c:numRef>
              <c:f>FreqCalculations!$E$2:$E$51</c:f>
              <c:numCache>
                <c:ptCount val="50"/>
                <c:pt idx="0">
                  <c:v>-0.03727793366245234</c:v>
                </c:pt>
                <c:pt idx="1">
                  <c:v>-0.04498678208067555</c:v>
                </c:pt>
                <c:pt idx="2">
                  <c:v>-0.05428979852489216</c:v>
                </c:pt>
                <c:pt idx="3">
                  <c:v>-0.0655166716523953</c:v>
                </c:pt>
                <c:pt idx="4">
                  <c:v>-0.0790652873389674</c:v>
                </c:pt>
                <c:pt idx="5">
                  <c:v>-0.0954158465361289</c:v>
                </c:pt>
                <c:pt idx="6">
                  <c:v>-0.11514791409376712</c:v>
                </c:pt>
                <c:pt idx="7">
                  <c:v>-0.1389610133614572</c:v>
                </c:pt>
                <c:pt idx="8">
                  <c:v>-0.16769951512356635</c:v>
                </c:pt>
                <c:pt idx="9">
                  <c:v>-0.20238273582992172</c:v>
                </c:pt>
                <c:pt idx="10">
                  <c:v>-0.24424136971383337</c:v>
                </c:pt>
                <c:pt idx="11">
                  <c:v>-0.29476164788102754</c:v>
                </c:pt>
                <c:pt idx="12">
                  <c:v>-0.3557389687938179</c:v>
                </c:pt>
                <c:pt idx="13">
                  <c:v>-0.4293432167633483</c:v>
                </c:pt>
                <c:pt idx="14">
                  <c:v>-0.5181986400212967</c:v>
                </c:pt>
                <c:pt idx="15">
                  <c:v>-0.6254821010402164</c:v>
                </c:pt>
                <c:pt idx="16">
                  <c:v>-0.7550449151379461</c:v>
                </c:pt>
                <c:pt idx="17">
                  <c:v>-0.9115656645915722</c:v>
                </c:pt>
                <c:pt idx="18">
                  <c:v>-1.1007448536749043</c:v>
                </c:pt>
                <c:pt idx="19">
                  <c:v>-1.329558023572928</c:v>
                </c:pt>
                <c:pt idx="20">
                  <c:v>-1.6065937494621099</c:v>
                </c:pt>
                <c:pt idx="21">
                  <c:v>-1.9425201270538088</c:v>
                </c:pt>
                <c:pt idx="22">
                  <c:v>-2.350754373180526</c:v>
                </c:pt>
                <c:pt idx="23">
                  <c:v>-2.848467993590417</c:v>
                </c:pt>
                <c:pt idx="24">
                  <c:v>-3.4581720076557247</c:v>
                </c:pt>
                <c:pt idx="25">
                  <c:v>-4.210354276995641</c:v>
                </c:pt>
                <c:pt idx="26">
                  <c:v>-5.148131253952256</c:v>
                </c:pt>
                <c:pt idx="27">
                  <c:v>-6.336013639742555</c:v>
                </c:pt>
                <c:pt idx="28">
                  <c:v>-7.877778551697572</c:v>
                </c:pt>
                <c:pt idx="29">
                  <c:v>-9.956714289617123</c:v>
                </c:pt>
                <c:pt idx="30">
                  <c:v>-12.939037942974696</c:v>
                </c:pt>
                <c:pt idx="31">
                  <c:v>-17.693743343458657</c:v>
                </c:pt>
                <c:pt idx="32">
                  <c:v>-26.895064841050072</c:v>
                </c:pt>
                <c:pt idx="33">
                  <c:v>-52.76319730817978</c:v>
                </c:pt>
                <c:pt idx="34">
                  <c:v>-125.06130802750214</c:v>
                </c:pt>
                <c:pt idx="35">
                  <c:v>-161.46226054847546</c:v>
                </c:pt>
                <c:pt idx="36">
                  <c:v>-173.64503140341674</c:v>
                </c:pt>
                <c:pt idx="37">
                  <c:v>-180.31469126322548</c:v>
                </c:pt>
                <c:pt idx="38">
                  <c:v>-185.25065620182968</c:v>
                </c:pt>
                <c:pt idx="39">
                  <c:v>-189.58837453308644</c:v>
                </c:pt>
                <c:pt idx="40">
                  <c:v>-193.77914813766276</c:v>
                </c:pt>
                <c:pt idx="41">
                  <c:v>-198.02029855013143</c:v>
                </c:pt>
                <c:pt idx="42">
                  <c:v>-202.3757222330015</c:v>
                </c:pt>
                <c:pt idx="43">
                  <c:v>-206.8131642367203</c:v>
                </c:pt>
                <c:pt idx="44">
                  <c:v>-211.21983776362066</c:v>
                </c:pt>
                <c:pt idx="45">
                  <c:v>-215.41984970839266</c:v>
                </c:pt>
                <c:pt idx="46">
                  <c:v>-219.2016115525732</c:v>
                </c:pt>
                <c:pt idx="47">
                  <c:v>-222.35216715676754</c:v>
                </c:pt>
                <c:pt idx="48">
                  <c:v>-224.68883596843497</c:v>
                </c:pt>
                <c:pt idx="49">
                  <c:v>-226.08006255816485</c:v>
                </c:pt>
              </c:numCache>
            </c:numRef>
          </c:yVal>
          <c:smooth val="1"/>
        </c:ser>
        <c:ser>
          <c:idx val="1"/>
          <c:order val="1"/>
          <c:tx>
            <c:v>Compensation Network</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FreqCalculations!$A$2:$A$51</c:f>
              <c:numCache>
                <c:ptCount val="50"/>
                <c:pt idx="0">
                  <c:v>10</c:v>
                </c:pt>
                <c:pt idx="1">
                  <c:v>12.067926406393283</c:v>
                </c:pt>
                <c:pt idx="2">
                  <c:v>14.563484775012428</c:v>
                </c:pt>
                <c:pt idx="3">
                  <c:v>17.57510624854791</c:v>
                </c:pt>
                <c:pt idx="4">
                  <c:v>21.209508879201906</c:v>
                </c:pt>
                <c:pt idx="5">
                  <c:v>25.595479226995344</c:v>
                </c:pt>
                <c:pt idx="6">
                  <c:v>30.888435964774786</c:v>
                </c:pt>
                <c:pt idx="7">
                  <c:v>37.27593720314938</c:v>
                </c:pt>
                <c:pt idx="8">
                  <c:v>44.98432668969444</c:v>
                </c:pt>
                <c:pt idx="9">
                  <c:v>54.28675439323857</c:v>
                </c:pt>
                <c:pt idx="10">
                  <c:v>65.51285568595506</c:v>
                </c:pt>
                <c:pt idx="11">
                  <c:v>79.06043210907694</c:v>
                </c:pt>
                <c:pt idx="12">
                  <c:v>95.40954763499934</c:v>
                </c:pt>
                <c:pt idx="13">
                  <c:v>115.13953993264457</c:v>
                </c:pt>
                <c:pt idx="14">
                  <c:v>138.9495494373136</c:v>
                </c:pt>
                <c:pt idx="15">
                  <c:v>167.68329368110065</c:v>
                </c:pt>
                <c:pt idx="16">
                  <c:v>202.35896477251555</c:v>
                </c:pt>
                <c:pt idx="17">
                  <c:v>244.205309454865</c:v>
                </c:pt>
                <c:pt idx="18">
                  <c:v>294.7051702551807</c:v>
                </c:pt>
                <c:pt idx="19">
                  <c:v>355.6480306223125</c:v>
                </c:pt>
                <c:pt idx="20">
                  <c:v>429.1934260128774</c:v>
                </c:pt>
                <c:pt idx="21">
                  <c:v>517.9474679231207</c:v>
                </c:pt>
                <c:pt idx="22">
                  <c:v>625.0551925273969</c:v>
                </c:pt>
                <c:pt idx="23">
                  <c:v>754.3120063354608</c:v>
                </c:pt>
                <c:pt idx="24">
                  <c:v>910.2981779915208</c:v>
                </c:pt>
                <c:pt idx="25">
                  <c:v>1098.5411419875572</c:v>
                </c:pt>
                <c:pt idx="26">
                  <c:v>1325.7113655901069</c:v>
                </c:pt>
                <c:pt idx="27">
                  <c:v>1599.8587196060557</c:v>
                </c:pt>
                <c:pt idx="28">
                  <c:v>1930.6977288832477</c:v>
                </c:pt>
                <c:pt idx="29">
                  <c:v>2329.9518105153693</c:v>
                </c:pt>
                <c:pt idx="30">
                  <c:v>2811.768697974228</c:v>
                </c:pt>
                <c:pt idx="31">
                  <c:v>3393.221771895323</c:v>
                </c:pt>
                <c:pt idx="32">
                  <c:v>4094.915062380419</c:v>
                </c:pt>
                <c:pt idx="33">
                  <c:v>4941.713361323828</c:v>
                </c:pt>
                <c:pt idx="34">
                  <c:v>5963.623316594637</c:v>
                </c:pt>
                <c:pt idx="35">
                  <c:v>7196.856730011514</c:v>
                </c:pt>
                <c:pt idx="36">
                  <c:v>8685.113737513511</c:v>
                </c:pt>
                <c:pt idx="37">
                  <c:v>10481.13134154683</c:v>
                </c:pt>
                <c:pt idx="38">
                  <c:v>12648.552168552933</c:v>
                </c:pt>
                <c:pt idx="39">
                  <c:v>15264.179671752303</c:v>
                </c:pt>
                <c:pt idx="40">
                  <c:v>18420.699693267125</c:v>
                </c:pt>
                <c:pt idx="41">
                  <c:v>22229.96482526191</c:v>
                </c:pt>
                <c:pt idx="42">
                  <c:v>26826.95795279722</c:v>
                </c:pt>
                <c:pt idx="43">
                  <c:v>32374.5754281764</c:v>
                </c:pt>
                <c:pt idx="44">
                  <c:v>39069.39937054613</c:v>
                </c:pt>
                <c:pt idx="45">
                  <c:v>47148.663634573895</c:v>
                </c:pt>
                <c:pt idx="46">
                  <c:v>56898.660290182816</c:v>
                </c:pt>
                <c:pt idx="47">
                  <c:v>68664.88450042985</c:v>
                </c:pt>
                <c:pt idx="48">
                  <c:v>82864.27728546826</c:v>
                </c:pt>
                <c:pt idx="49">
                  <c:v>99999.99999999959</c:v>
                </c:pt>
              </c:numCache>
            </c:numRef>
          </c:xVal>
          <c:yVal>
            <c:numRef>
              <c:f>FreqCalculations!$F$2:$F$51</c:f>
              <c:numCache>
                <c:ptCount val="50"/>
                <c:pt idx="0">
                  <c:v>91.24636270193324</c:v>
                </c:pt>
                <c:pt idx="1">
                  <c:v>91.50400728474337</c:v>
                </c:pt>
                <c:pt idx="2">
                  <c:v>91.81485967402482</c:v>
                </c:pt>
                <c:pt idx="3">
                  <c:v>92.18986899455474</c:v>
                </c:pt>
                <c:pt idx="4">
                  <c:v>92.64220788759857</c:v>
                </c:pt>
                <c:pt idx="5">
                  <c:v>93.18770168122042</c:v>
                </c:pt>
                <c:pt idx="6">
                  <c:v>93.84532338221325</c:v>
                </c:pt>
                <c:pt idx="7">
                  <c:v>94.63775116530604</c:v>
                </c:pt>
                <c:pt idx="8">
                  <c:v>95.59197218124065</c:v>
                </c:pt>
                <c:pt idx="9">
                  <c:v>96.7398927788404</c:v>
                </c:pt>
                <c:pt idx="10">
                  <c:v>98.1188736472482</c:v>
                </c:pt>
                <c:pt idx="11">
                  <c:v>99.7720390013174</c:v>
                </c:pt>
                <c:pt idx="12">
                  <c:v>101.74809987058356</c:v>
                </c:pt>
                <c:pt idx="13">
                  <c:v>104.10027434269229</c:v>
                </c:pt>
                <c:pt idx="14">
                  <c:v>106.88369283885154</c:v>
                </c:pt>
                <c:pt idx="15">
                  <c:v>110.15050818649169</c:v>
                </c:pt>
                <c:pt idx="16">
                  <c:v>113.94196179898542</c:v>
                </c:pt>
                <c:pt idx="17">
                  <c:v>118.27721657133077</c:v>
                </c:pt>
                <c:pt idx="18">
                  <c:v>123.1402495692029</c:v>
                </c:pt>
                <c:pt idx="19">
                  <c:v>128.46853680714736</c:v>
                </c:pt>
                <c:pt idx="20">
                  <c:v>134.1495546534993</c:v>
                </c:pt>
                <c:pt idx="21">
                  <c:v>140.03077459444154</c:v>
                </c:pt>
                <c:pt idx="22">
                  <c:v>145.94382136161948</c:v>
                </c:pt>
                <c:pt idx="23">
                  <c:v>151.73570996712328</c:v>
                </c:pt>
                <c:pt idx="24">
                  <c:v>157.29558421091508</c:v>
                </c:pt>
                <c:pt idx="25">
                  <c:v>162.5682902427257</c:v>
                </c:pt>
                <c:pt idx="26">
                  <c:v>167.55366889421748</c:v>
                </c:pt>
                <c:pt idx="27">
                  <c:v>172.29637249384302</c:v>
                </c:pt>
                <c:pt idx="28">
                  <c:v>176.8722240913367</c:v>
                </c:pt>
                <c:pt idx="29">
                  <c:v>181.37503897805078</c:v>
                </c:pt>
                <c:pt idx="30">
                  <c:v>185.90507517364404</c:v>
                </c:pt>
                <c:pt idx="31">
                  <c:v>190.55838201687442</c:v>
                </c:pt>
                <c:pt idx="32">
                  <c:v>195.41559539471695</c:v>
                </c:pt>
                <c:pt idx="33">
                  <c:v>200.52913918615707</c:v>
                </c:pt>
                <c:pt idx="34">
                  <c:v>205.9093735917109</c:v>
                </c:pt>
                <c:pt idx="35">
                  <c:v>211.51283866897077</c:v>
                </c:pt>
                <c:pt idx="36">
                  <c:v>217.2382501472668</c:v>
                </c:pt>
                <c:pt idx="37">
                  <c:v>222.9358425090271</c:v>
                </c:pt>
                <c:pt idx="38">
                  <c:v>228.43092023769498</c:v>
                </c:pt>
                <c:pt idx="39">
                  <c:v>233.5547860156793</c:v>
                </c:pt>
                <c:pt idx="40">
                  <c:v>238.1715031247953</c:v>
                </c:pt>
                <c:pt idx="41">
                  <c:v>242.1915967017694</c:v>
                </c:pt>
                <c:pt idx="42">
                  <c:v>245.5713318957932</c:v>
                </c:pt>
                <c:pt idx="43">
                  <c:v>248.30236998183108</c:v>
                </c:pt>
                <c:pt idx="44">
                  <c:v>250.39812244802005</c:v>
                </c:pt>
                <c:pt idx="45">
                  <c:v>251.88127773762784</c:v>
                </c:pt>
                <c:pt idx="46">
                  <c:v>252.77443239652712</c:v>
                </c:pt>
                <c:pt idx="47">
                  <c:v>253.09404074877415</c:v>
                </c:pt>
                <c:pt idx="48">
                  <c:v>252.8472088413667</c:v>
                </c:pt>
                <c:pt idx="49">
                  <c:v>252.03085199606778</c:v>
                </c:pt>
              </c:numCache>
            </c:numRef>
          </c:yVal>
          <c:smooth val="1"/>
        </c:ser>
        <c:ser>
          <c:idx val="2"/>
          <c:order val="2"/>
          <c:tx>
            <c:v>Total</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FreqCalculations!$A$2:$A$51</c:f>
              <c:numCache>
                <c:ptCount val="50"/>
                <c:pt idx="0">
                  <c:v>10</c:v>
                </c:pt>
                <c:pt idx="1">
                  <c:v>12.067926406393283</c:v>
                </c:pt>
                <c:pt idx="2">
                  <c:v>14.563484775012428</c:v>
                </c:pt>
                <c:pt idx="3">
                  <c:v>17.57510624854791</c:v>
                </c:pt>
                <c:pt idx="4">
                  <c:v>21.209508879201906</c:v>
                </c:pt>
                <c:pt idx="5">
                  <c:v>25.595479226995344</c:v>
                </c:pt>
                <c:pt idx="6">
                  <c:v>30.888435964774786</c:v>
                </c:pt>
                <c:pt idx="7">
                  <c:v>37.27593720314938</c:v>
                </c:pt>
                <c:pt idx="8">
                  <c:v>44.98432668969444</c:v>
                </c:pt>
                <c:pt idx="9">
                  <c:v>54.28675439323857</c:v>
                </c:pt>
                <c:pt idx="10">
                  <c:v>65.51285568595506</c:v>
                </c:pt>
                <c:pt idx="11">
                  <c:v>79.06043210907694</c:v>
                </c:pt>
                <c:pt idx="12">
                  <c:v>95.40954763499934</c:v>
                </c:pt>
                <c:pt idx="13">
                  <c:v>115.13953993264457</c:v>
                </c:pt>
                <c:pt idx="14">
                  <c:v>138.9495494373136</c:v>
                </c:pt>
                <c:pt idx="15">
                  <c:v>167.68329368110065</c:v>
                </c:pt>
                <c:pt idx="16">
                  <c:v>202.35896477251555</c:v>
                </c:pt>
                <c:pt idx="17">
                  <c:v>244.205309454865</c:v>
                </c:pt>
                <c:pt idx="18">
                  <c:v>294.7051702551807</c:v>
                </c:pt>
                <c:pt idx="19">
                  <c:v>355.6480306223125</c:v>
                </c:pt>
                <c:pt idx="20">
                  <c:v>429.1934260128774</c:v>
                </c:pt>
                <c:pt idx="21">
                  <c:v>517.9474679231207</c:v>
                </c:pt>
                <c:pt idx="22">
                  <c:v>625.0551925273969</c:v>
                </c:pt>
                <c:pt idx="23">
                  <c:v>754.3120063354608</c:v>
                </c:pt>
                <c:pt idx="24">
                  <c:v>910.2981779915208</c:v>
                </c:pt>
                <c:pt idx="25">
                  <c:v>1098.5411419875572</c:v>
                </c:pt>
                <c:pt idx="26">
                  <c:v>1325.7113655901069</c:v>
                </c:pt>
                <c:pt idx="27">
                  <c:v>1599.8587196060557</c:v>
                </c:pt>
                <c:pt idx="28">
                  <c:v>1930.6977288832477</c:v>
                </c:pt>
                <c:pt idx="29">
                  <c:v>2329.9518105153693</c:v>
                </c:pt>
                <c:pt idx="30">
                  <c:v>2811.768697974228</c:v>
                </c:pt>
                <c:pt idx="31">
                  <c:v>3393.221771895323</c:v>
                </c:pt>
                <c:pt idx="32">
                  <c:v>4094.915062380419</c:v>
                </c:pt>
                <c:pt idx="33">
                  <c:v>4941.713361323828</c:v>
                </c:pt>
                <c:pt idx="34">
                  <c:v>5963.623316594637</c:v>
                </c:pt>
                <c:pt idx="35">
                  <c:v>7196.856730011514</c:v>
                </c:pt>
                <c:pt idx="36">
                  <c:v>8685.113737513511</c:v>
                </c:pt>
                <c:pt idx="37">
                  <c:v>10481.13134154683</c:v>
                </c:pt>
                <c:pt idx="38">
                  <c:v>12648.552168552933</c:v>
                </c:pt>
                <c:pt idx="39">
                  <c:v>15264.179671752303</c:v>
                </c:pt>
                <c:pt idx="40">
                  <c:v>18420.699693267125</c:v>
                </c:pt>
                <c:pt idx="41">
                  <c:v>22229.96482526191</c:v>
                </c:pt>
                <c:pt idx="42">
                  <c:v>26826.95795279722</c:v>
                </c:pt>
                <c:pt idx="43">
                  <c:v>32374.5754281764</c:v>
                </c:pt>
                <c:pt idx="44">
                  <c:v>39069.39937054613</c:v>
                </c:pt>
                <c:pt idx="45">
                  <c:v>47148.663634573895</c:v>
                </c:pt>
                <c:pt idx="46">
                  <c:v>56898.660290182816</c:v>
                </c:pt>
                <c:pt idx="47">
                  <c:v>68664.88450042985</c:v>
                </c:pt>
                <c:pt idx="48">
                  <c:v>82864.27728546826</c:v>
                </c:pt>
                <c:pt idx="49">
                  <c:v>99999.99999999959</c:v>
                </c:pt>
              </c:numCache>
            </c:numRef>
          </c:xVal>
          <c:yVal>
            <c:numRef>
              <c:f>FreqCalculations!$G$2:$G$51</c:f>
              <c:numCache>
                <c:ptCount val="50"/>
                <c:pt idx="0">
                  <c:v>91.20908476827078</c:v>
                </c:pt>
                <c:pt idx="1">
                  <c:v>91.4590205026627</c:v>
                </c:pt>
                <c:pt idx="2">
                  <c:v>91.76056987549993</c:v>
                </c:pt>
                <c:pt idx="3">
                  <c:v>92.12435232290235</c:v>
                </c:pt>
                <c:pt idx="4">
                  <c:v>92.56314260025961</c:v>
                </c:pt>
                <c:pt idx="5">
                  <c:v>93.09228583468429</c:v>
                </c:pt>
                <c:pt idx="6">
                  <c:v>93.73017546811948</c:v>
                </c:pt>
                <c:pt idx="7">
                  <c:v>94.49879015194459</c:v>
                </c:pt>
                <c:pt idx="8">
                  <c:v>95.42427266611708</c:v>
                </c:pt>
                <c:pt idx="9">
                  <c:v>96.53751004301047</c:v>
                </c:pt>
                <c:pt idx="10">
                  <c:v>97.87463227753436</c:v>
                </c:pt>
                <c:pt idx="11">
                  <c:v>99.47727735343636</c:v>
                </c:pt>
                <c:pt idx="12">
                  <c:v>101.39236090178974</c:v>
                </c:pt>
                <c:pt idx="13">
                  <c:v>103.67093112592894</c:v>
                </c:pt>
                <c:pt idx="14">
                  <c:v>106.36549419883025</c:v>
                </c:pt>
                <c:pt idx="15">
                  <c:v>109.52502608545147</c:v>
                </c:pt>
                <c:pt idx="16">
                  <c:v>113.18691688384747</c:v>
                </c:pt>
                <c:pt idx="17">
                  <c:v>117.36565090673919</c:v>
                </c:pt>
                <c:pt idx="18">
                  <c:v>122.03950471552798</c:v>
                </c:pt>
                <c:pt idx="19">
                  <c:v>127.13897878357443</c:v>
                </c:pt>
                <c:pt idx="20">
                  <c:v>132.5429609040372</c:v>
                </c:pt>
                <c:pt idx="21">
                  <c:v>138.08825446738774</c:v>
                </c:pt>
                <c:pt idx="22">
                  <c:v>143.59306698843895</c:v>
                </c:pt>
                <c:pt idx="23">
                  <c:v>148.88724197353287</c:v>
                </c:pt>
                <c:pt idx="24">
                  <c:v>153.83741220325936</c:v>
                </c:pt>
                <c:pt idx="25">
                  <c:v>158.35793596573006</c:v>
                </c:pt>
                <c:pt idx="26">
                  <c:v>162.40553764026524</c:v>
                </c:pt>
                <c:pt idx="27">
                  <c:v>165.96035885410046</c:v>
                </c:pt>
                <c:pt idx="28">
                  <c:v>168.99444553963914</c:v>
                </c:pt>
                <c:pt idx="29">
                  <c:v>171.41832468843367</c:v>
                </c:pt>
                <c:pt idx="30">
                  <c:v>172.96603723066934</c:v>
                </c:pt>
                <c:pt idx="31">
                  <c:v>172.86463867341575</c:v>
                </c:pt>
                <c:pt idx="32">
                  <c:v>168.52053055366687</c:v>
                </c:pt>
                <c:pt idx="33">
                  <c:v>147.7659418779773</c:v>
                </c:pt>
                <c:pt idx="34">
                  <c:v>80.84806556420877</c:v>
                </c:pt>
                <c:pt idx="35">
                  <c:v>50.05057812049532</c:v>
                </c:pt>
                <c:pt idx="36">
                  <c:v>43.59321874385006</c:v>
                </c:pt>
                <c:pt idx="37">
                  <c:v>42.62115124580163</c:v>
                </c:pt>
                <c:pt idx="38">
                  <c:v>43.18026403586529</c:v>
                </c:pt>
                <c:pt idx="39">
                  <c:v>43.96641148259286</c:v>
                </c:pt>
                <c:pt idx="40">
                  <c:v>44.392354987132535</c:v>
                </c:pt>
                <c:pt idx="41">
                  <c:v>44.171298151637984</c:v>
                </c:pt>
                <c:pt idx="42">
                  <c:v>43.195609662791696</c:v>
                </c:pt>
                <c:pt idx="43">
                  <c:v>41.48920574511078</c:v>
                </c:pt>
                <c:pt idx="44">
                  <c:v>39.17828468439939</c:v>
                </c:pt>
                <c:pt idx="45">
                  <c:v>36.46142802923518</c:v>
                </c:pt>
                <c:pt idx="46">
                  <c:v>33.572820843953906</c:v>
                </c:pt>
                <c:pt idx="47">
                  <c:v>30.741873592006613</c:v>
                </c:pt>
                <c:pt idx="48">
                  <c:v>28.15837287293172</c:v>
                </c:pt>
                <c:pt idx="49">
                  <c:v>25.950789437902927</c:v>
                </c:pt>
              </c:numCache>
            </c:numRef>
          </c:yVal>
          <c:smooth val="1"/>
        </c:ser>
        <c:axId val="9139658"/>
        <c:axId val="15148059"/>
      </c:scatterChart>
      <c:valAx>
        <c:axId val="9139658"/>
        <c:scaling>
          <c:logBase val="10"/>
          <c:orientation val="minMax"/>
          <c:max val="100000"/>
          <c:min val="10"/>
        </c:scaling>
        <c:axPos val="b"/>
        <c:title>
          <c:tx>
            <c:rich>
              <a:bodyPr vert="horz" rot="0" anchor="ctr"/>
              <a:lstStyle/>
              <a:p>
                <a:pPr algn="ctr">
                  <a:defRPr/>
                </a:pPr>
                <a:r>
                  <a:rPr lang="en-US"/>
                  <a:t>Frequency (Hz)</a:t>
                </a:r>
              </a:p>
            </c:rich>
          </c:tx>
          <c:layout/>
          <c:overlay val="0"/>
          <c:spPr>
            <a:noFill/>
            <a:ln>
              <a:noFill/>
            </a:ln>
          </c:spPr>
        </c:title>
        <c:majorGridlines/>
        <c:minorGridlines/>
        <c:delete val="0"/>
        <c:numFmt formatCode="General" sourceLinked="1"/>
        <c:majorTickMark val="out"/>
        <c:minorTickMark val="none"/>
        <c:tickLblPos val="nextTo"/>
        <c:crossAx val="15148059"/>
        <c:crossesAt val="-360"/>
        <c:crossBetween val="midCat"/>
        <c:dispUnits/>
      </c:valAx>
      <c:valAx>
        <c:axId val="15148059"/>
        <c:scaling>
          <c:orientation val="minMax"/>
        </c:scaling>
        <c:axPos val="l"/>
        <c:title>
          <c:tx>
            <c:rich>
              <a:bodyPr vert="horz" rot="-5400000" anchor="ctr"/>
              <a:lstStyle/>
              <a:p>
                <a:pPr algn="ctr">
                  <a:defRPr/>
                </a:pPr>
                <a:r>
                  <a:rPr lang="en-US" cap="none" sz="800" b="0" i="0" u="none" baseline="0">
                    <a:latin typeface="Arial"/>
                    <a:ea typeface="Arial"/>
                    <a:cs typeface="Arial"/>
                  </a:rPr>
                  <a:t>Phase (°)</a:t>
                </a:r>
              </a:p>
            </c:rich>
          </c:tx>
          <c:layout/>
          <c:overlay val="0"/>
          <c:spPr>
            <a:noFill/>
            <a:ln>
              <a:noFill/>
            </a:ln>
          </c:spPr>
        </c:title>
        <c:majorGridlines/>
        <c:delete val="0"/>
        <c:numFmt formatCode="0" sourceLinked="0"/>
        <c:majorTickMark val="out"/>
        <c:minorTickMark val="none"/>
        <c:tickLblPos val="nextTo"/>
        <c:spPr>
          <a:ln w="3175">
            <a:noFill/>
          </a:ln>
        </c:spPr>
        <c:crossAx val="9139658"/>
        <c:crosses val="autoZero"/>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Drain Voltage vs Input Voltage</a:t>
            </a:r>
          </a:p>
        </c:rich>
      </c:tx>
      <c:layout/>
      <c:spPr>
        <a:noFill/>
        <a:ln>
          <a:noFill/>
        </a:ln>
      </c:spPr>
    </c:title>
    <c:plotArea>
      <c:layout>
        <c:manualLayout>
          <c:xMode val="edge"/>
          <c:yMode val="edge"/>
          <c:x val="0.0705"/>
          <c:y val="0.13175"/>
          <c:w val="0.90775"/>
          <c:h val="0.66575"/>
        </c:manualLayout>
      </c:layout>
      <c:scatterChart>
        <c:scatterStyle val="lineMarker"/>
        <c:varyColors val="0"/>
        <c:ser>
          <c:idx val="0"/>
          <c:order val="0"/>
          <c:tx>
            <c:strRef>
              <c:f>Data2!$B$20</c:f>
              <c:strCache>
                <c:ptCount val="1"/>
                <c:pt idx="0">
                  <c:v>0.95*DCmax</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Data2!$A$21:$A$31</c:f>
              <c:numCache>
                <c:ptCount val="11"/>
                <c:pt idx="0">
                  <c:v>33</c:v>
                </c:pt>
                <c:pt idx="1">
                  <c:v>37.3</c:v>
                </c:pt>
                <c:pt idx="2">
                  <c:v>41.599999999999994</c:v>
                </c:pt>
                <c:pt idx="3">
                  <c:v>45.89999999999999</c:v>
                </c:pt>
                <c:pt idx="4">
                  <c:v>50.19999999999999</c:v>
                </c:pt>
                <c:pt idx="5">
                  <c:v>54.499999999999986</c:v>
                </c:pt>
                <c:pt idx="6">
                  <c:v>58.79999999999998</c:v>
                </c:pt>
                <c:pt idx="7">
                  <c:v>63.09999999999998</c:v>
                </c:pt>
                <c:pt idx="8">
                  <c:v>67.39999999999998</c:v>
                </c:pt>
                <c:pt idx="9">
                  <c:v>71.69999999999997</c:v>
                </c:pt>
                <c:pt idx="10">
                  <c:v>75.99999999999997</c:v>
                </c:pt>
              </c:numCache>
            </c:numRef>
          </c:xVal>
          <c:yVal>
            <c:numRef>
              <c:f>Data2!$C$21:$C$31</c:f>
              <c:numCache>
                <c:ptCount val="11"/>
                <c:pt idx="0">
                  <c:v>81.56575569983389</c:v>
                </c:pt>
                <c:pt idx="1">
                  <c:v>78.82130922304894</c:v>
                </c:pt>
                <c:pt idx="2">
                  <c:v>78.83672389179077</c:v>
                </c:pt>
                <c:pt idx="3">
                  <c:v>80.25578662980647</c:v>
                </c:pt>
                <c:pt idx="4">
                  <c:v>82.48581808875015</c:v>
                </c:pt>
                <c:pt idx="5">
                  <c:v>85.22664211570616</c:v>
                </c:pt>
                <c:pt idx="6">
                  <c:v>88.30995670185125</c:v>
                </c:pt>
                <c:pt idx="7">
                  <c:v>91.63408159191107</c:v>
                </c:pt>
                <c:pt idx="8">
                  <c:v>95.13396180312577</c:v>
                </c:pt>
                <c:pt idx="9">
                  <c:v>98.76603937667674</c:v>
                </c:pt>
                <c:pt idx="10">
                  <c:v>102.50005149224522</c:v>
                </c:pt>
              </c:numCache>
            </c:numRef>
          </c:yVal>
          <c:smooth val="0"/>
        </c:ser>
        <c:ser>
          <c:idx val="1"/>
          <c:order val="1"/>
          <c:tx>
            <c:strRef>
              <c:f>Data2!$D$20</c:f>
              <c:strCache>
                <c:ptCount val="1"/>
                <c:pt idx="0">
                  <c:v>DCmax</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Data2!$A$21:$A$31</c:f>
              <c:numCache>
                <c:ptCount val="11"/>
                <c:pt idx="0">
                  <c:v>33</c:v>
                </c:pt>
                <c:pt idx="1">
                  <c:v>37.3</c:v>
                </c:pt>
                <c:pt idx="2">
                  <c:v>41.599999999999994</c:v>
                </c:pt>
                <c:pt idx="3">
                  <c:v>45.89999999999999</c:v>
                </c:pt>
                <c:pt idx="4">
                  <c:v>50.19999999999999</c:v>
                </c:pt>
                <c:pt idx="5">
                  <c:v>54.499999999999986</c:v>
                </c:pt>
                <c:pt idx="6">
                  <c:v>58.79999999999998</c:v>
                </c:pt>
                <c:pt idx="7">
                  <c:v>63.09999999999998</c:v>
                </c:pt>
                <c:pt idx="8">
                  <c:v>67.39999999999998</c:v>
                </c:pt>
                <c:pt idx="9">
                  <c:v>71.69999999999997</c:v>
                </c:pt>
                <c:pt idx="10">
                  <c:v>75.99999999999997</c:v>
                </c:pt>
              </c:numCache>
            </c:numRef>
          </c:xVal>
          <c:yVal>
            <c:numRef>
              <c:f>Data2!$E$21:$E$31</c:f>
              <c:numCache>
                <c:ptCount val="11"/>
                <c:pt idx="0">
                  <c:v>88.4140752864157</c:v>
                </c:pt>
                <c:pt idx="1">
                  <c:v>83.72668764543913</c:v>
                </c:pt>
                <c:pt idx="2">
                  <c:v>82.7344462226791</c:v>
                </c:pt>
                <c:pt idx="3">
                  <c:v>83.54706651841191</c:v>
                </c:pt>
                <c:pt idx="4">
                  <c:v>85.37575963277688</c:v>
                </c:pt>
                <c:pt idx="5">
                  <c:v>87.83292990236367</c:v>
                </c:pt>
                <c:pt idx="6">
                  <c:v>90.70588099542287</c:v>
                </c:pt>
                <c:pt idx="7">
                  <c:v>93.86816438569227</c:v>
                </c:pt>
                <c:pt idx="8">
                  <c:v>97.23988660465137</c:v>
                </c:pt>
                <c:pt idx="9">
                  <c:v>100.76808964627865</c:v>
                </c:pt>
                <c:pt idx="10">
                  <c:v>104.41628199748213</c:v>
                </c:pt>
              </c:numCache>
            </c:numRef>
          </c:yVal>
          <c:smooth val="0"/>
        </c:ser>
        <c:ser>
          <c:idx val="2"/>
          <c:order val="2"/>
          <c:tx>
            <c:strRef>
              <c:f>Data2!$F$20</c:f>
              <c:strCache>
                <c:ptCount val="1"/>
                <c:pt idx="0">
                  <c:v>1.05*DCmax</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xVal>
            <c:numRef>
              <c:f>Data2!$A$21:$A$31</c:f>
              <c:numCache>
                <c:ptCount val="11"/>
                <c:pt idx="0">
                  <c:v>33</c:v>
                </c:pt>
                <c:pt idx="1">
                  <c:v>37.3</c:v>
                </c:pt>
                <c:pt idx="2">
                  <c:v>41.599999999999994</c:v>
                </c:pt>
                <c:pt idx="3">
                  <c:v>45.89999999999999</c:v>
                </c:pt>
                <c:pt idx="4">
                  <c:v>50.19999999999999</c:v>
                </c:pt>
                <c:pt idx="5">
                  <c:v>54.499999999999986</c:v>
                </c:pt>
                <c:pt idx="6">
                  <c:v>58.79999999999998</c:v>
                </c:pt>
                <c:pt idx="7">
                  <c:v>63.09999999999998</c:v>
                </c:pt>
                <c:pt idx="8">
                  <c:v>67.39999999999998</c:v>
                </c:pt>
                <c:pt idx="9">
                  <c:v>71.69999999999997</c:v>
                </c:pt>
                <c:pt idx="10">
                  <c:v>75.99999999999997</c:v>
                </c:pt>
              </c:numCache>
            </c:numRef>
          </c:xVal>
          <c:yVal>
            <c:numRef>
              <c:f>Data2!$G$21:$G$31</c:f>
              <c:numCache>
                <c:ptCount val="11"/>
                <c:pt idx="0">
                  <c:v>96.51777738073967</c:v>
                </c:pt>
                <c:pt idx="1">
                  <c:v>89.28315000078403</c:v>
                </c:pt>
                <c:pt idx="2">
                  <c:v>87.03762469929305</c:v>
                </c:pt>
                <c:pt idx="3">
                  <c:v>87.11984040376484</c:v>
                </c:pt>
                <c:pt idx="4">
                  <c:v>88.47555531725521</c:v>
                </c:pt>
                <c:pt idx="5">
                  <c:v>90.60365019677411</c:v>
                </c:pt>
                <c:pt idx="6">
                  <c:v>93.2354377832359</c:v>
                </c:pt>
                <c:pt idx="7">
                  <c:v>96.21390547917301</c:v>
                </c:pt>
                <c:pt idx="8">
                  <c:v>99.44115726991063</c:v>
                </c:pt>
                <c:pt idx="9">
                  <c:v>102.85298489403827</c:v>
                </c:pt>
                <c:pt idx="10">
                  <c:v>106.40552502726163</c:v>
                </c:pt>
              </c:numCache>
            </c:numRef>
          </c:yVal>
          <c:smooth val="0"/>
        </c:ser>
        <c:ser>
          <c:idx val="3"/>
          <c:order val="3"/>
          <c:tx>
            <c:strRef>
              <c:f>Data2!$H$20</c:f>
              <c:strCache>
                <c:ptCount val="1"/>
                <c:pt idx="0">
                  <c:v>Switch VDS Rating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Data2!$A$21:$A$31</c:f>
              <c:numCache>
                <c:ptCount val="11"/>
                <c:pt idx="0">
                  <c:v>33</c:v>
                </c:pt>
                <c:pt idx="1">
                  <c:v>37.3</c:v>
                </c:pt>
                <c:pt idx="2">
                  <c:v>41.599999999999994</c:v>
                </c:pt>
                <c:pt idx="3">
                  <c:v>45.89999999999999</c:v>
                </c:pt>
                <c:pt idx="4">
                  <c:v>50.19999999999999</c:v>
                </c:pt>
                <c:pt idx="5">
                  <c:v>54.499999999999986</c:v>
                </c:pt>
                <c:pt idx="6">
                  <c:v>58.79999999999998</c:v>
                </c:pt>
                <c:pt idx="7">
                  <c:v>63.09999999999998</c:v>
                </c:pt>
                <c:pt idx="8">
                  <c:v>67.39999999999998</c:v>
                </c:pt>
                <c:pt idx="9">
                  <c:v>71.69999999999997</c:v>
                </c:pt>
                <c:pt idx="10">
                  <c:v>75.99999999999997</c:v>
                </c:pt>
              </c:numCache>
            </c:numRef>
          </c:xVal>
          <c:yVal>
            <c:numRef>
              <c:f>Data2!$H$21:$H$31</c:f>
              <c:numCache>
                <c:ptCount val="11"/>
                <c:pt idx="0">
                  <c:v>150</c:v>
                </c:pt>
                <c:pt idx="1">
                  <c:v>150</c:v>
                </c:pt>
                <c:pt idx="2">
                  <c:v>150</c:v>
                </c:pt>
                <c:pt idx="3">
                  <c:v>150</c:v>
                </c:pt>
                <c:pt idx="4">
                  <c:v>150</c:v>
                </c:pt>
                <c:pt idx="5">
                  <c:v>150</c:v>
                </c:pt>
                <c:pt idx="6">
                  <c:v>150</c:v>
                </c:pt>
                <c:pt idx="7">
                  <c:v>150</c:v>
                </c:pt>
                <c:pt idx="8">
                  <c:v>150</c:v>
                </c:pt>
                <c:pt idx="9">
                  <c:v>150</c:v>
                </c:pt>
                <c:pt idx="10">
                  <c:v>150</c:v>
                </c:pt>
              </c:numCache>
            </c:numRef>
          </c:yVal>
          <c:smooth val="0"/>
        </c:ser>
        <c:axId val="53962044"/>
        <c:axId val="15896349"/>
      </c:scatterChart>
      <c:valAx>
        <c:axId val="53962044"/>
        <c:scaling>
          <c:orientation val="minMax"/>
        </c:scaling>
        <c:axPos val="b"/>
        <c:title>
          <c:tx>
            <c:rich>
              <a:bodyPr vert="horz" rot="0" anchor="ctr"/>
              <a:lstStyle/>
              <a:p>
                <a:pPr algn="ctr">
                  <a:defRPr/>
                </a:pPr>
                <a:r>
                  <a:rPr lang="en-US" cap="none" sz="800" b="1" i="0" u="none" baseline="0">
                    <a:latin typeface="Arial"/>
                    <a:ea typeface="Arial"/>
                    <a:cs typeface="Arial"/>
                  </a:rPr>
                  <a:t>V</a:t>
                </a:r>
                <a:r>
                  <a:rPr lang="en-US" cap="none" sz="800" b="1" i="0" u="none" baseline="-25000">
                    <a:latin typeface="Arial"/>
                    <a:ea typeface="Arial"/>
                    <a:cs typeface="Arial"/>
                  </a:rPr>
                  <a:t>in</a:t>
                </a:r>
                <a:r>
                  <a:rPr lang="en-US" cap="none" sz="800" b="1" i="0" u="none" baseline="0">
                    <a:latin typeface="Arial"/>
                    <a:ea typeface="Arial"/>
                    <a:cs typeface="Arial"/>
                  </a:rPr>
                  <a:t>, Input Voltage(V)</a:t>
                </a:r>
              </a:p>
            </c:rich>
          </c:tx>
          <c:layout/>
          <c:overlay val="0"/>
          <c:spPr>
            <a:noFill/>
            <a:ln>
              <a:noFill/>
            </a:ln>
          </c:spPr>
        </c:title>
        <c:majorGridlines/>
        <c:delete val="0"/>
        <c:numFmt formatCode="0" sourceLinked="0"/>
        <c:majorTickMark val="out"/>
        <c:minorTickMark val="none"/>
        <c:tickLblPos val="nextTo"/>
        <c:crossAx val="15896349"/>
        <c:crosses val="autoZero"/>
        <c:crossBetween val="midCat"/>
        <c:dispUnits/>
      </c:valAx>
      <c:valAx>
        <c:axId val="15896349"/>
        <c:scaling>
          <c:orientation val="minMax"/>
        </c:scaling>
        <c:axPos val="l"/>
        <c:title>
          <c:tx>
            <c:rich>
              <a:bodyPr vert="horz" rot="-5400000" anchor="ctr"/>
              <a:lstStyle/>
              <a:p>
                <a:pPr algn="ctr">
                  <a:defRPr/>
                </a:pPr>
                <a:r>
                  <a:rPr lang="en-US" cap="none" sz="800" b="1" i="0" u="none" baseline="0">
                    <a:latin typeface="Arial"/>
                    <a:ea typeface="Arial"/>
                    <a:cs typeface="Arial"/>
                  </a:rPr>
                  <a:t>V</a:t>
                </a:r>
                <a:r>
                  <a:rPr lang="en-US" cap="none" sz="800" b="1" i="0" u="none" baseline="-25000">
                    <a:latin typeface="Arial"/>
                    <a:ea typeface="Arial"/>
                    <a:cs typeface="Arial"/>
                  </a:rPr>
                  <a:t>DS</a:t>
                </a:r>
                <a:r>
                  <a:rPr lang="en-US" cap="none" sz="800" b="1" i="0" u="none" baseline="0">
                    <a:latin typeface="Arial"/>
                    <a:ea typeface="Arial"/>
                    <a:cs typeface="Arial"/>
                  </a:rPr>
                  <a:t>, Drain Voltage(V)</a:t>
                </a:r>
              </a:p>
            </c:rich>
          </c:tx>
          <c:layout/>
          <c:overlay val="0"/>
          <c:spPr>
            <a:noFill/>
            <a:ln>
              <a:noFill/>
            </a:ln>
          </c:spPr>
        </c:title>
        <c:majorGridlines/>
        <c:delete val="0"/>
        <c:numFmt formatCode="0" sourceLinked="0"/>
        <c:majorTickMark val="out"/>
        <c:minorTickMark val="none"/>
        <c:tickLblPos val="nextTo"/>
        <c:crossAx val="53962044"/>
        <c:crosses val="autoZero"/>
        <c:crossBetween val="midCat"/>
        <c:dispUnits/>
      </c:valAx>
      <c:spPr>
        <a:noFill/>
        <a:ln w="12700">
          <a:solidFill>
            <a:srgbClr val="808080"/>
          </a:solidFill>
        </a:ln>
      </c:spPr>
    </c:plotArea>
    <c:legend>
      <c:legendPos val="r"/>
      <c:layout>
        <c:manualLayout>
          <c:xMode val="edge"/>
          <c:yMode val="edge"/>
          <c:x val="0.1805"/>
          <c:y val="0.863"/>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Output Inductor Current vs time</a:t>
            </a:r>
          </a:p>
        </c:rich>
      </c:tx>
      <c:layout/>
      <c:spPr>
        <a:noFill/>
        <a:ln>
          <a:noFill/>
        </a:ln>
      </c:spPr>
    </c:title>
    <c:plotArea>
      <c:layout>
        <c:manualLayout>
          <c:xMode val="edge"/>
          <c:yMode val="edge"/>
          <c:x val="0.075"/>
          <c:y val="0.12425"/>
          <c:w val="0.883"/>
          <c:h val="0.69025"/>
        </c:manualLayout>
      </c:layout>
      <c:scatterChart>
        <c:scatterStyle val="line"/>
        <c:varyColors val="0"/>
        <c:ser>
          <c:idx val="0"/>
          <c:order val="0"/>
          <c:tx>
            <c:v>Low Line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Data2!$A$35:$A$40</c:f>
              <c:numCache>
                <c:ptCount val="6"/>
                <c:pt idx="0">
                  <c:v>0.001</c:v>
                </c:pt>
                <c:pt idx="1">
                  <c:v>1.7907321755825114</c:v>
                </c:pt>
                <c:pt idx="2">
                  <c:v>2.857142857142857</c:v>
                </c:pt>
                <c:pt idx="3">
                  <c:v>2.867142857142857</c:v>
                </c:pt>
                <c:pt idx="4">
                  <c:v>4.657875032725368</c:v>
                </c:pt>
                <c:pt idx="5">
                  <c:v>5.714285714285714</c:v>
                </c:pt>
              </c:numCache>
            </c:numRef>
          </c:xVal>
          <c:yVal>
            <c:numRef>
              <c:f>Data2!$B$35:$B$40</c:f>
              <c:numCache>
                <c:ptCount val="6"/>
                <c:pt idx="0">
                  <c:v>28.82694825028362</c:v>
                </c:pt>
                <c:pt idx="1">
                  <c:v>31.17305174971638</c:v>
                </c:pt>
                <c:pt idx="2">
                  <c:v>28.82694825028362</c:v>
                </c:pt>
                <c:pt idx="3">
                  <c:v>28.82694825028362</c:v>
                </c:pt>
                <c:pt idx="4">
                  <c:v>31.17305174971638</c:v>
                </c:pt>
                <c:pt idx="5">
                  <c:v>28.82694825028362</c:v>
                </c:pt>
              </c:numCache>
            </c:numRef>
          </c:yVal>
          <c:smooth val="0"/>
        </c:ser>
        <c:ser>
          <c:idx val="1"/>
          <c:order val="1"/>
          <c:tx>
            <c:v>High Line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Data2!$E$35:$E$40</c:f>
              <c:numCache>
                <c:ptCount val="6"/>
                <c:pt idx="0">
                  <c:v>0.001</c:v>
                </c:pt>
                <c:pt idx="1">
                  <c:v>0.7740767286581917</c:v>
                </c:pt>
                <c:pt idx="2">
                  <c:v>2.857142857142857</c:v>
                </c:pt>
                <c:pt idx="3">
                  <c:v>2.867142857142857</c:v>
                </c:pt>
                <c:pt idx="4">
                  <c:v>3.6412195858010485</c:v>
                </c:pt>
                <c:pt idx="5">
                  <c:v>5.714285714285714</c:v>
                </c:pt>
              </c:numCache>
            </c:numRef>
          </c:xVal>
          <c:yVal>
            <c:numRef>
              <c:f>Data2!$F$35:$F$40</c:f>
              <c:numCache>
                <c:ptCount val="6"/>
                <c:pt idx="0">
                  <c:v>27.70862725866687</c:v>
                </c:pt>
                <c:pt idx="1">
                  <c:v>32.291372741333134</c:v>
                </c:pt>
                <c:pt idx="2">
                  <c:v>27.70862725866687</c:v>
                </c:pt>
                <c:pt idx="3">
                  <c:v>27.70862725866687</c:v>
                </c:pt>
                <c:pt idx="4">
                  <c:v>32.291372741333134</c:v>
                </c:pt>
                <c:pt idx="5">
                  <c:v>27.70862725866687</c:v>
                </c:pt>
              </c:numCache>
            </c:numRef>
          </c:yVal>
          <c:smooth val="0"/>
        </c:ser>
        <c:axId val="8849414"/>
        <c:axId val="12535863"/>
      </c:scatterChart>
      <c:valAx>
        <c:axId val="8849414"/>
        <c:scaling>
          <c:orientation val="minMax"/>
          <c:max val="6"/>
        </c:scaling>
        <c:axPos val="b"/>
        <c:title>
          <c:tx>
            <c:rich>
              <a:bodyPr vert="horz" rot="0" anchor="ctr"/>
              <a:lstStyle/>
              <a:p>
                <a:pPr algn="ctr">
                  <a:defRPr/>
                </a:pPr>
                <a:r>
                  <a:rPr lang="en-US" cap="none" sz="950" b="1" i="0" u="none" baseline="0">
                    <a:latin typeface="Arial"/>
                    <a:ea typeface="Arial"/>
                    <a:cs typeface="Arial"/>
                  </a:rPr>
                  <a:t>time (us)</a:t>
                </a:r>
              </a:p>
            </c:rich>
          </c:tx>
          <c:layout>
            <c:manualLayout>
              <c:xMode val="factor"/>
              <c:yMode val="factor"/>
              <c:x val="0.0025"/>
              <c:y val="0"/>
            </c:manualLayout>
          </c:layout>
          <c:overlay val="0"/>
          <c:spPr>
            <a:noFill/>
            <a:ln>
              <a:noFill/>
            </a:ln>
          </c:spPr>
        </c:title>
        <c:majorGridlines/>
        <c:delete val="0"/>
        <c:numFmt formatCode="0.0" sourceLinked="0"/>
        <c:majorTickMark val="out"/>
        <c:minorTickMark val="none"/>
        <c:tickLblPos val="nextTo"/>
        <c:crossAx val="12535863"/>
        <c:crosses val="autoZero"/>
        <c:crossBetween val="midCat"/>
        <c:dispUnits/>
        <c:majorUnit val="0.5"/>
      </c:valAx>
      <c:valAx>
        <c:axId val="12535863"/>
        <c:scaling>
          <c:orientation val="minMax"/>
        </c:scaling>
        <c:axPos val="l"/>
        <c:title>
          <c:tx>
            <c:rich>
              <a:bodyPr vert="horz" rot="-5400000" anchor="ctr"/>
              <a:lstStyle/>
              <a:p>
                <a:pPr algn="ctr">
                  <a:defRPr/>
                </a:pPr>
                <a:r>
                  <a:rPr lang="en-US" cap="none" sz="950" b="1" i="0" u="none" baseline="0">
                    <a:latin typeface="Arial"/>
                    <a:ea typeface="Arial"/>
                    <a:cs typeface="Arial"/>
                  </a:rPr>
                  <a:t>I</a:t>
                </a:r>
                <a:r>
                  <a:rPr lang="en-US" cap="none" sz="950" b="1" i="0" u="none" baseline="-25000">
                    <a:latin typeface="Arial"/>
                    <a:ea typeface="Arial"/>
                    <a:cs typeface="Arial"/>
                  </a:rPr>
                  <a:t>L</a:t>
                </a:r>
                <a:r>
                  <a:rPr lang="en-US" cap="none" sz="950" b="1" i="0" u="none" baseline="0">
                    <a:latin typeface="Arial"/>
                    <a:ea typeface="Arial"/>
                    <a:cs typeface="Arial"/>
                  </a:rPr>
                  <a:t>, Inductor Current (A)</a:t>
                </a:r>
              </a:p>
            </c:rich>
          </c:tx>
          <c:layout/>
          <c:overlay val="0"/>
          <c:spPr>
            <a:noFill/>
            <a:ln>
              <a:noFill/>
            </a:ln>
          </c:spPr>
        </c:title>
        <c:majorGridlines/>
        <c:delete val="0"/>
        <c:numFmt formatCode="0" sourceLinked="0"/>
        <c:majorTickMark val="out"/>
        <c:minorTickMark val="none"/>
        <c:tickLblPos val="nextTo"/>
        <c:crossAx val="8849414"/>
        <c:crosses val="autoZero"/>
        <c:crossBetween val="midCat"/>
        <c:dispUnits/>
      </c:valAx>
      <c:spPr>
        <a:noFill/>
        <a:ln w="12700">
          <a:solidFill>
            <a:srgbClr val="808080"/>
          </a:solidFill>
        </a:ln>
      </c:spPr>
    </c:plotArea>
    <c:legend>
      <c:legendPos val="r"/>
      <c:layout>
        <c:manualLayout>
          <c:xMode val="edge"/>
          <c:yMode val="edge"/>
          <c:x val="0.33625"/>
          <c:y val="0.8967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Switch Current vs time</a:t>
            </a:r>
          </a:p>
        </c:rich>
      </c:tx>
      <c:layout/>
      <c:spPr>
        <a:noFill/>
        <a:ln>
          <a:noFill/>
        </a:ln>
      </c:spPr>
    </c:title>
    <c:plotArea>
      <c:layout>
        <c:manualLayout>
          <c:xMode val="edge"/>
          <c:yMode val="edge"/>
          <c:x val="0.07375"/>
          <c:y val="0.12575"/>
          <c:w val="0.90375"/>
          <c:h val="0.68425"/>
        </c:manualLayout>
      </c:layout>
      <c:scatterChart>
        <c:scatterStyle val="line"/>
        <c:varyColors val="0"/>
        <c:ser>
          <c:idx val="0"/>
          <c:order val="0"/>
          <c:tx>
            <c:v>Low Line</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Data2!$J$22:$J$31</c:f>
              <c:numCache>
                <c:ptCount val="10"/>
                <c:pt idx="0">
                  <c:v>0</c:v>
                </c:pt>
                <c:pt idx="1">
                  <c:v>0.001</c:v>
                </c:pt>
                <c:pt idx="2">
                  <c:v>1.7907321755825114</c:v>
                </c:pt>
                <c:pt idx="3">
                  <c:v>1.7917321755825113</c:v>
                </c:pt>
                <c:pt idx="4">
                  <c:v>2.857142857142857</c:v>
                </c:pt>
                <c:pt idx="5">
                  <c:v>2.8572428571428574</c:v>
                </c:pt>
                <c:pt idx="6">
                  <c:v>2.8582428571428573</c:v>
                </c:pt>
                <c:pt idx="7">
                  <c:v>4.647975032725369</c:v>
                </c:pt>
                <c:pt idx="8">
                  <c:v>4.6488750327253685</c:v>
                </c:pt>
                <c:pt idx="9">
                  <c:v>5.714485714285715</c:v>
                </c:pt>
              </c:numCache>
            </c:numRef>
          </c:xVal>
          <c:yVal>
            <c:numRef>
              <c:f>Data2!$K$22:$K$31</c:f>
              <c:numCache>
                <c:ptCount val="10"/>
                <c:pt idx="0">
                  <c:v>0</c:v>
                </c:pt>
                <c:pt idx="1">
                  <c:v>4.80449137504727</c:v>
                </c:pt>
                <c:pt idx="2">
                  <c:v>5.687959973237921</c:v>
                </c:pt>
                <c:pt idx="3">
                  <c:v>0</c:v>
                </c:pt>
                <c:pt idx="4">
                  <c:v>0</c:v>
                </c:pt>
                <c:pt idx="5">
                  <c:v>0</c:v>
                </c:pt>
                <c:pt idx="6">
                  <c:v>4.80449137504727</c:v>
                </c:pt>
                <c:pt idx="7">
                  <c:v>5.687959973237921</c:v>
                </c:pt>
                <c:pt idx="8">
                  <c:v>0</c:v>
                </c:pt>
                <c:pt idx="9">
                  <c:v>0</c:v>
                </c:pt>
              </c:numCache>
            </c:numRef>
          </c:yVal>
          <c:smooth val="0"/>
        </c:ser>
        <c:ser>
          <c:idx val="1"/>
          <c:order val="1"/>
          <c:tx>
            <c:v>High Line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Data2!$M$22:$M$31</c:f>
              <c:numCache>
                <c:ptCount val="10"/>
                <c:pt idx="0">
                  <c:v>0</c:v>
                </c:pt>
                <c:pt idx="1">
                  <c:v>0.001</c:v>
                </c:pt>
                <c:pt idx="2">
                  <c:v>0.7740767286581915</c:v>
                </c:pt>
                <c:pt idx="3">
                  <c:v>0.7750767286581915</c:v>
                </c:pt>
                <c:pt idx="4">
                  <c:v>2.857142857142857</c:v>
                </c:pt>
                <c:pt idx="5">
                  <c:v>2.8572428571428574</c:v>
                </c:pt>
                <c:pt idx="6">
                  <c:v>2.8582428571428573</c:v>
                </c:pt>
                <c:pt idx="7">
                  <c:v>3.631319585801049</c:v>
                </c:pt>
                <c:pt idx="8">
                  <c:v>3.6322195858010486</c:v>
                </c:pt>
                <c:pt idx="9">
                  <c:v>5.714485714285715</c:v>
                </c:pt>
              </c:numCache>
            </c:numRef>
          </c:xVal>
          <c:yVal>
            <c:numRef>
              <c:f>Data2!$N$22:$N$31</c:f>
              <c:numCache>
                <c:ptCount val="10"/>
                <c:pt idx="0">
                  <c:v>0</c:v>
                </c:pt>
                <c:pt idx="1">
                  <c:v>4.618104543111145</c:v>
                </c:pt>
                <c:pt idx="2">
                  <c:v>5.874346805174047</c:v>
                </c:pt>
                <c:pt idx="3">
                  <c:v>0</c:v>
                </c:pt>
                <c:pt idx="4">
                  <c:v>0</c:v>
                </c:pt>
                <c:pt idx="5">
                  <c:v>0</c:v>
                </c:pt>
                <c:pt idx="6">
                  <c:v>4.618104543111145</c:v>
                </c:pt>
                <c:pt idx="7">
                  <c:v>5.874346805174047</c:v>
                </c:pt>
                <c:pt idx="8">
                  <c:v>0</c:v>
                </c:pt>
                <c:pt idx="9">
                  <c:v>0</c:v>
                </c:pt>
              </c:numCache>
            </c:numRef>
          </c:yVal>
          <c:smooth val="0"/>
        </c:ser>
        <c:axId val="45713904"/>
        <c:axId val="8771953"/>
      </c:scatterChart>
      <c:valAx>
        <c:axId val="45713904"/>
        <c:scaling>
          <c:orientation val="minMax"/>
          <c:max val="6"/>
        </c:scaling>
        <c:axPos val="b"/>
        <c:title>
          <c:tx>
            <c:rich>
              <a:bodyPr vert="horz" rot="0" anchor="ctr"/>
              <a:lstStyle/>
              <a:p>
                <a:pPr algn="ctr">
                  <a:defRPr/>
                </a:pPr>
                <a:r>
                  <a:rPr lang="en-US" cap="none" sz="95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txPr>
          <a:bodyPr/>
          <a:lstStyle/>
          <a:p>
            <a:pPr>
              <a:defRPr lang="en-US" cap="none" sz="850" b="0" i="0" u="none" baseline="0">
                <a:latin typeface="Arial"/>
                <a:ea typeface="Arial"/>
                <a:cs typeface="Arial"/>
              </a:defRPr>
            </a:pPr>
          </a:p>
        </c:txPr>
        <c:crossAx val="8771953"/>
        <c:crosses val="autoZero"/>
        <c:crossBetween val="midCat"/>
        <c:dispUnits/>
        <c:majorUnit val="0.5"/>
      </c:valAx>
      <c:valAx>
        <c:axId val="8771953"/>
        <c:scaling>
          <c:orientation val="minMax"/>
        </c:scaling>
        <c:axPos val="l"/>
        <c:title>
          <c:tx>
            <c:rich>
              <a:bodyPr vert="horz" rot="-5400000" anchor="ctr"/>
              <a:lstStyle/>
              <a:p>
                <a:pPr algn="ctr">
                  <a:defRPr/>
                </a:pPr>
                <a:r>
                  <a:rPr lang="en-US" cap="none" sz="950" b="1" i="0" u="none" baseline="0">
                    <a:latin typeface="Arial"/>
                    <a:ea typeface="Arial"/>
                    <a:cs typeface="Arial"/>
                  </a:rPr>
                  <a:t>Switch Current (A)</a:t>
                </a:r>
              </a:p>
            </c:rich>
          </c:tx>
          <c:layout/>
          <c:overlay val="0"/>
          <c:spPr>
            <a:noFill/>
            <a:ln>
              <a:noFill/>
            </a:ln>
          </c:spPr>
        </c:title>
        <c:majorGridlines/>
        <c:delete val="0"/>
        <c:numFmt formatCode="0.0" sourceLinked="0"/>
        <c:majorTickMark val="out"/>
        <c:minorTickMark val="none"/>
        <c:tickLblPos val="nextTo"/>
        <c:txPr>
          <a:bodyPr/>
          <a:lstStyle/>
          <a:p>
            <a:pPr>
              <a:defRPr lang="en-US" cap="none" sz="850" b="0" i="0" u="none" baseline="0">
                <a:latin typeface="Arial"/>
                <a:ea typeface="Arial"/>
                <a:cs typeface="Arial"/>
              </a:defRPr>
            </a:pPr>
          </a:p>
        </c:txPr>
        <c:crossAx val="45713904"/>
        <c:crosses val="autoZero"/>
        <c:crossBetween val="midCat"/>
        <c:dispUnits/>
      </c:valAx>
      <c:spPr>
        <a:noFill/>
        <a:ln w="12700">
          <a:solidFill>
            <a:srgbClr val="808080"/>
          </a:solidFill>
        </a:ln>
      </c:spPr>
    </c:plotArea>
    <c:legend>
      <c:legendPos val="r"/>
      <c:layout>
        <c:manualLayout>
          <c:xMode val="edge"/>
          <c:yMode val="edge"/>
          <c:x val="0.349"/>
          <c:y val="0.8967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25"/>
          <c:y val="0.0285"/>
          <c:w val="0.898"/>
          <c:h val="0.89775"/>
        </c:manualLayout>
      </c:layout>
      <c:scatterChart>
        <c:scatterStyle val="smoothMarker"/>
        <c:varyColors val="0"/>
        <c:ser>
          <c:idx val="0"/>
          <c:order val="0"/>
          <c:tx>
            <c:v>Input Filter</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Data4!$F$4:$F$104</c:f>
              <c:numCache>
                <c:ptCount val="101"/>
                <c:pt idx="0">
                  <c:v>100</c:v>
                </c:pt>
                <c:pt idx="1">
                  <c:v>109.6478196143186</c:v>
                </c:pt>
                <c:pt idx="2">
                  <c:v>120.22644346174135</c:v>
                </c:pt>
                <c:pt idx="3">
                  <c:v>131.82567385564084</c:v>
                </c:pt>
                <c:pt idx="4">
                  <c:v>144.54397707459285</c:v>
                </c:pt>
                <c:pt idx="5">
                  <c:v>158.48931924611153</c:v>
                </c:pt>
                <c:pt idx="6">
                  <c:v>173.78008287493753</c:v>
                </c:pt>
                <c:pt idx="7">
                  <c:v>190.5460717963248</c:v>
                </c:pt>
                <c:pt idx="8">
                  <c:v>208.92961308540396</c:v>
                </c:pt>
                <c:pt idx="9">
                  <c:v>229.08676527677744</c:v>
                </c:pt>
                <c:pt idx="10">
                  <c:v>251.18864315095806</c:v>
                </c:pt>
                <c:pt idx="11">
                  <c:v>275.42287033381683</c:v>
                </c:pt>
                <c:pt idx="12">
                  <c:v>301.9951720402017</c:v>
                </c:pt>
                <c:pt idx="13">
                  <c:v>331.13112148259137</c:v>
                </c:pt>
                <c:pt idx="14">
                  <c:v>363.0780547701012</c:v>
                </c:pt>
                <c:pt idx="15">
                  <c:v>398.10717055349727</c:v>
                </c:pt>
                <c:pt idx="16">
                  <c:v>436.5158322401658</c:v>
                </c:pt>
                <c:pt idx="17">
                  <c:v>478.6300923226384</c:v>
                </c:pt>
                <c:pt idx="18">
                  <c:v>524.8074602497725</c:v>
                </c:pt>
                <c:pt idx="19">
                  <c:v>575.4399373371571</c:v>
                </c:pt>
                <c:pt idx="20">
                  <c:v>630.9573444801932</c:v>
                </c:pt>
                <c:pt idx="21">
                  <c:v>691.8309709189367</c:v>
                </c:pt>
                <c:pt idx="22">
                  <c:v>758.5775750291838</c:v>
                </c:pt>
                <c:pt idx="23">
                  <c:v>831.7637711026714</c:v>
                </c:pt>
                <c:pt idx="24">
                  <c:v>912.0108393559099</c:v>
                </c:pt>
                <c:pt idx="25">
                  <c:v>999.9999999999998</c:v>
                </c:pt>
                <c:pt idx="26">
                  <c:v>1096.4781961431863</c:v>
                </c:pt>
                <c:pt idx="27">
                  <c:v>1202.2644346174127</c:v>
                </c:pt>
                <c:pt idx="28">
                  <c:v>1318.2567385564064</c:v>
                </c:pt>
                <c:pt idx="29">
                  <c:v>1445.4397707459275</c:v>
                </c:pt>
                <c:pt idx="30">
                  <c:v>1584.8931924611143</c:v>
                </c:pt>
                <c:pt idx="31">
                  <c:v>1737.8008287493758</c:v>
                </c:pt>
                <c:pt idx="32">
                  <c:v>1905.4607179632485</c:v>
                </c:pt>
                <c:pt idx="33">
                  <c:v>2089.296130854038</c:v>
                </c:pt>
                <c:pt idx="34">
                  <c:v>2290.867652767771</c:v>
                </c:pt>
                <c:pt idx="35">
                  <c:v>2511.886431509579</c:v>
                </c:pt>
                <c:pt idx="36">
                  <c:v>2754.2287033381663</c:v>
                </c:pt>
                <c:pt idx="37">
                  <c:v>3019.9517204020176</c:v>
                </c:pt>
                <c:pt idx="38">
                  <c:v>3311.3112148259115</c:v>
                </c:pt>
                <c:pt idx="39">
                  <c:v>3630.7805477010124</c:v>
                </c:pt>
                <c:pt idx="40">
                  <c:v>3981.07170553497</c:v>
                </c:pt>
                <c:pt idx="41">
                  <c:v>4365.158322401663</c:v>
                </c:pt>
                <c:pt idx="42">
                  <c:v>4786.300923226385</c:v>
                </c:pt>
                <c:pt idx="43">
                  <c:v>5248.074602497726</c:v>
                </c:pt>
                <c:pt idx="44">
                  <c:v>5754.399373371567</c:v>
                </c:pt>
                <c:pt idx="45">
                  <c:v>6309.573444801938</c:v>
                </c:pt>
                <c:pt idx="46">
                  <c:v>6918.309709189369</c:v>
                </c:pt>
                <c:pt idx="47">
                  <c:v>7585.775750291839</c:v>
                </c:pt>
                <c:pt idx="48">
                  <c:v>8317.63771102671</c:v>
                </c:pt>
                <c:pt idx="49">
                  <c:v>9120.108393559092</c:v>
                </c:pt>
                <c:pt idx="50">
                  <c:v>9999.99999999999</c:v>
                </c:pt>
                <c:pt idx="51">
                  <c:v>10964.781961431836</c:v>
                </c:pt>
                <c:pt idx="52">
                  <c:v>12022.644346174151</c:v>
                </c:pt>
                <c:pt idx="53">
                  <c:v>13182.567385564067</c:v>
                </c:pt>
                <c:pt idx="54">
                  <c:v>14454.397707459266</c:v>
                </c:pt>
                <c:pt idx="55">
                  <c:v>15848.931924611119</c:v>
                </c:pt>
                <c:pt idx="56">
                  <c:v>17378.00828749373</c:v>
                </c:pt>
                <c:pt idx="57">
                  <c:v>19054.607179632472</c:v>
                </c:pt>
                <c:pt idx="58">
                  <c:v>20892.961308540387</c:v>
                </c:pt>
                <c:pt idx="59">
                  <c:v>22908.67652767771</c:v>
                </c:pt>
                <c:pt idx="60">
                  <c:v>25118.864315095816</c:v>
                </c:pt>
                <c:pt idx="61">
                  <c:v>27542.28703338167</c:v>
                </c:pt>
                <c:pt idx="62">
                  <c:v>30199.517204020158</c:v>
                </c:pt>
                <c:pt idx="63">
                  <c:v>33113.11214825909</c:v>
                </c:pt>
                <c:pt idx="64">
                  <c:v>36307.805477010166</c:v>
                </c:pt>
                <c:pt idx="65">
                  <c:v>39810.71705534974</c:v>
                </c:pt>
                <c:pt idx="66">
                  <c:v>43651.583224016525</c:v>
                </c:pt>
                <c:pt idx="67">
                  <c:v>47863.00923226382</c:v>
                </c:pt>
                <c:pt idx="68">
                  <c:v>52480.74602497713</c:v>
                </c:pt>
                <c:pt idx="69">
                  <c:v>57543.99373371573</c:v>
                </c:pt>
                <c:pt idx="70">
                  <c:v>63095.73444801923</c:v>
                </c:pt>
                <c:pt idx="71">
                  <c:v>69183.09709189365</c:v>
                </c:pt>
                <c:pt idx="72">
                  <c:v>75857.75750291835</c:v>
                </c:pt>
                <c:pt idx="73">
                  <c:v>83176.37711026717</c:v>
                </c:pt>
                <c:pt idx="74">
                  <c:v>91201.08393559087</c:v>
                </c:pt>
                <c:pt idx="75">
                  <c:v>100000</c:v>
                </c:pt>
                <c:pt idx="76">
                  <c:v>109647.81961431848</c:v>
                </c:pt>
                <c:pt idx="77">
                  <c:v>120226.44346174144</c:v>
                </c:pt>
                <c:pt idx="78">
                  <c:v>131825.67385564058</c:v>
                </c:pt>
                <c:pt idx="79">
                  <c:v>144543.97707459255</c:v>
                </c:pt>
                <c:pt idx="80">
                  <c:v>158489.31924611135</c:v>
                </c:pt>
                <c:pt idx="81">
                  <c:v>173780.08287493748</c:v>
                </c:pt>
                <c:pt idx="82">
                  <c:v>190546.0717963246</c:v>
                </c:pt>
                <c:pt idx="83">
                  <c:v>208929.61308540372</c:v>
                </c:pt>
                <c:pt idx="84">
                  <c:v>229086.76527677738</c:v>
                </c:pt>
                <c:pt idx="85">
                  <c:v>251188.643150958</c:v>
                </c:pt>
                <c:pt idx="86">
                  <c:v>275422.8703338165</c:v>
                </c:pt>
                <c:pt idx="87">
                  <c:v>301995.1720402019</c:v>
                </c:pt>
                <c:pt idx="88">
                  <c:v>331131.12148259126</c:v>
                </c:pt>
                <c:pt idx="89">
                  <c:v>363078.0547701014</c:v>
                </c:pt>
                <c:pt idx="90">
                  <c:v>398107.17055349716</c:v>
                </c:pt>
                <c:pt idx="91">
                  <c:v>436515.8322401649</c:v>
                </c:pt>
                <c:pt idx="92">
                  <c:v>478630.0923226387</c:v>
                </c:pt>
                <c:pt idx="93">
                  <c:v>524807.460249772</c:v>
                </c:pt>
                <c:pt idx="94">
                  <c:v>575439.937337157</c:v>
                </c:pt>
                <c:pt idx="95">
                  <c:v>630957.344480193</c:v>
                </c:pt>
                <c:pt idx="96">
                  <c:v>691830.970918936</c:v>
                </c:pt>
                <c:pt idx="97">
                  <c:v>758577.575029183</c:v>
                </c:pt>
                <c:pt idx="98">
                  <c:v>831763.7711026698</c:v>
                </c:pt>
                <c:pt idx="99">
                  <c:v>912010.8393559096</c:v>
                </c:pt>
                <c:pt idx="100">
                  <c:v>999999.9999999978</c:v>
                </c:pt>
              </c:numCache>
            </c:numRef>
          </c:xVal>
          <c:yVal>
            <c:numRef>
              <c:f>Data4!$G$4:$G$104</c:f>
              <c:numCache>
                <c:ptCount val="101"/>
                <c:pt idx="0">
                  <c:v>-37.69832099784366</c:v>
                </c:pt>
                <c:pt idx="1">
                  <c:v>-37.693721426226595</c:v>
                </c:pt>
                <c:pt idx="2">
                  <c:v>-37.68819794049812</c:v>
                </c:pt>
                <c:pt idx="3">
                  <c:v>-37.6815664997012</c:v>
                </c:pt>
                <c:pt idx="4">
                  <c:v>-37.673607082954305</c:v>
                </c:pt>
                <c:pt idx="5">
                  <c:v>-37.66405695394934</c:v>
                </c:pt>
                <c:pt idx="6">
                  <c:v>-37.65260279539566</c:v>
                </c:pt>
                <c:pt idx="7">
                  <c:v>-37.63887158180958</c:v>
                </c:pt>
                <c:pt idx="8">
                  <c:v>-37.622420071050634</c:v>
                </c:pt>
                <c:pt idx="9">
                  <c:v>-37.602722823501786</c:v>
                </c:pt>
                <c:pt idx="10">
                  <c:v>-37.579158710307524</c:v>
                </c:pt>
                <c:pt idx="11">
                  <c:v>-37.550995958252</c:v>
                </c:pt>
                <c:pt idx="12">
                  <c:v>-37.5173759103726</c:v>
                </c:pt>
                <c:pt idx="13">
                  <c:v>-37.4772958714522</c:v>
                </c:pt>
                <c:pt idx="14">
                  <c:v>-37.42959166928925</c:v>
                </c:pt>
                <c:pt idx="15">
                  <c:v>-37.37292090627309</c:v>
                </c:pt>
                <c:pt idx="16">
                  <c:v>-37.30574830336318</c:v>
                </c:pt>
                <c:pt idx="17">
                  <c:v>-37.226335036380206</c:v>
                </c:pt>
                <c:pt idx="18">
                  <c:v>-37.13273449287813</c:v>
                </c:pt>
                <c:pt idx="19">
                  <c:v>-37.02279735968105</c:v>
                </c:pt>
                <c:pt idx="20">
                  <c:v>-36.89418926271731</c:v>
                </c:pt>
                <c:pt idx="21">
                  <c:v>-36.74442415117226</c:v>
                </c:pt>
                <c:pt idx="22">
                  <c:v>-36.57091604633642</c:v>
                </c:pt>
                <c:pt idx="23">
                  <c:v>-36.371050475338585</c:v>
                </c:pt>
                <c:pt idx="24">
                  <c:v>-36.142274784239625</c:v>
                </c:pt>
                <c:pt idx="25">
                  <c:v>-35.88220366141663</c:v>
                </c:pt>
                <c:pt idx="26">
                  <c:v>-35.588732955360825</c:v>
                </c:pt>
                <c:pt idx="27">
                  <c:v>-35.260151878783034</c:v>
                </c:pt>
                <c:pt idx="28">
                  <c:v>-34.89524177270338</c:v>
                </c:pt>
                <c:pt idx="29">
                  <c:v>-34.493349527654644</c:v>
                </c:pt>
                <c:pt idx="30">
                  <c:v>-34.054425935109094</c:v>
                </c:pt>
                <c:pt idx="31">
                  <c:v>-33.5790234803016</c:v>
                </c:pt>
                <c:pt idx="32">
                  <c:v>-33.06825355640181</c:v>
                </c:pt>
                <c:pt idx="33">
                  <c:v>-32.52370853525874</c:v>
                </c:pt>
                <c:pt idx="34">
                  <c:v>-31.947358331024247</c:v>
                </c:pt>
                <c:pt idx="35">
                  <c:v>-31.341433217383162</c:v>
                </c:pt>
                <c:pt idx="36">
                  <c:v>-30.708304526472844</c:v>
                </c:pt>
                <c:pt idx="37">
                  <c:v>-30.050372885621897</c:v>
                </c:pt>
                <c:pt idx="38">
                  <c:v>-29.36997060581004</c:v>
                </c:pt>
                <c:pt idx="39">
                  <c:v>-28.669281538596717</c:v>
                </c:pt>
                <c:pt idx="40">
                  <c:v>-27.950278796065852</c:v>
                </c:pt>
                <c:pt idx="41">
                  <c:v>-27.214678525590273</c:v>
                </c:pt>
                <c:pt idx="42">
                  <c:v>-26.463906524306143</c:v>
                </c:pt>
                <c:pt idx="43">
                  <c:v>-25.69907375710843</c:v>
                </c:pt>
                <c:pt idx="44">
                  <c:v>-24.920956603791172</c:v>
                </c:pt>
                <c:pt idx="45">
                  <c:v>-24.12997768196206</c:v>
                </c:pt>
                <c:pt idx="46">
                  <c:v>-23.3261831679801</c:v>
                </c:pt>
                <c:pt idx="47">
                  <c:v>-22.50921249334902</c:v>
                </c:pt>
                <c:pt idx="48">
                  <c:v>-21.67825597190393</c:v>
                </c:pt>
                <c:pt idx="49">
                  <c:v>-20.83199514803804</c:v>
                </c:pt>
                <c:pt idx="50">
                  <c:v>-19.968519231428907</c:v>
                </c:pt>
                <c:pt idx="51">
                  <c:v>-19.085208567013346</c:v>
                </c:pt>
                <c:pt idx="52">
                  <c:v>-18.17857212575811</c:v>
                </c:pt>
                <c:pt idx="53">
                  <c:v>-17.244019523094355</c:v>
                </c:pt>
                <c:pt idx="54">
                  <c:v>-16.27553732550148</c:v>
                </c:pt>
                <c:pt idx="55">
                  <c:v>-15.265221108689646</c:v>
                </c:pt>
                <c:pt idx="56">
                  <c:v>-14.202582474277857</c:v>
                </c:pt>
                <c:pt idx="57">
                  <c:v>-13.07349088263696</c:v>
                </c:pt>
                <c:pt idx="58">
                  <c:v>-11.858495212323488</c:v>
                </c:pt>
                <c:pt idx="59">
                  <c:v>-10.530033146300607</c:v>
                </c:pt>
                <c:pt idx="60">
                  <c:v>-9.047510421529417</c:v>
                </c:pt>
                <c:pt idx="61">
                  <c:v>-7.347948024886354</c:v>
                </c:pt>
                <c:pt idx="62">
                  <c:v>-5.326357746532604</c:v>
                </c:pt>
                <c:pt idx="63">
                  <c:v>-2.788532146832414</c:v>
                </c:pt>
                <c:pt idx="64">
                  <c:v>0.6880621400120966</c:v>
                </c:pt>
                <c:pt idx="65">
                  <c:v>6.324753788631533</c:v>
                </c:pt>
                <c:pt idx="66">
                  <c:v>17.335272425452317</c:v>
                </c:pt>
                <c:pt idx="67">
                  <c:v>6.93618613975988</c:v>
                </c:pt>
                <c:pt idx="68">
                  <c:v>1.0159749327022711</c:v>
                </c:pt>
                <c:pt idx="69">
                  <c:v>-2.5652808870297332</c:v>
                </c:pt>
                <c:pt idx="70">
                  <c:v>-5.156276495603953</c:v>
                </c:pt>
                <c:pt idx="71">
                  <c:v>-7.209786712082144</c:v>
                </c:pt>
                <c:pt idx="72">
                  <c:v>-8.930585515631467</c:v>
                </c:pt>
                <c:pt idx="73">
                  <c:v>-10.428301301366327</c:v>
                </c:pt>
                <c:pt idx="74">
                  <c:v>-11.768281383195642</c:v>
                </c:pt>
                <c:pt idx="75">
                  <c:v>-12.992469571417903</c:v>
                </c:pt>
                <c:pt idx="76">
                  <c:v>-14.129268874779102</c:v>
                </c:pt>
                <c:pt idx="77">
                  <c:v>-15.198697246867752</c:v>
                </c:pt>
                <c:pt idx="78">
                  <c:v>-16.215297558131233</c:v>
                </c:pt>
                <c:pt idx="79">
                  <c:v>-17.189881808213435</c:v>
                </c:pt>
                <c:pt idx="80">
                  <c:v>-18.130628316749423</c:v>
                </c:pt>
                <c:pt idx="81">
                  <c:v>-19.043799593533087</c:v>
                </c:pt>
                <c:pt idx="82">
                  <c:v>-19.934227364503922</c:v>
                </c:pt>
                <c:pt idx="83">
                  <c:v>-20.805648896165422</c:v>
                </c:pt>
                <c:pt idx="84">
                  <c:v>-21.660944983374833</c:v>
                </c:pt>
                <c:pt idx="85">
                  <c:v>-22.502310832609666</c:v>
                </c:pt>
                <c:pt idx="86">
                  <c:v>-23.331379820675853</c:v>
                </c:pt>
                <c:pt idx="87">
                  <c:v>-24.149313281228622</c:v>
                </c:pt>
                <c:pt idx="88">
                  <c:v>-24.956865226760357</c:v>
                </c:pt>
                <c:pt idx="89">
                  <c:v>-25.754428235538114</c:v>
                </c:pt>
                <c:pt idx="90">
                  <c:v>-26.54206504449155</c:v>
                </c:pt>
                <c:pt idx="91">
                  <c:v>-27.31952935564061</c:v>
                </c:pt>
                <c:pt idx="92">
                  <c:v>-28.086278787338582</c:v>
                </c:pt>
                <c:pt idx="93">
                  <c:v>-28.841482661105434</c:v>
                </c:pt>
                <c:pt idx="94">
                  <c:v>-29.584027328284073</c:v>
                </c:pt>
                <c:pt idx="95">
                  <c:v>-30.312521939367713</c:v>
                </c:pt>
                <c:pt idx="96">
                  <c:v>-31.025307865578554</c:v>
                </c:pt>
                <c:pt idx="97">
                  <c:v>-31.720475293731564</c:v>
                </c:pt>
                <c:pt idx="98">
                  <c:v>-32.39589068885871</c:v>
                </c:pt>
                <c:pt idx="99">
                  <c:v>-33.04923867001246</c:v>
                </c:pt>
                <c:pt idx="100">
                  <c:v>-33.67808116378127</c:v>
                </c:pt>
              </c:numCache>
            </c:numRef>
          </c:yVal>
          <c:smooth val="1"/>
        </c:ser>
        <c:ser>
          <c:idx val="1"/>
          <c:order val="1"/>
          <c:tx>
            <c:v>Converter</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Data4!$F$4:$F$104</c:f>
              <c:numCache>
                <c:ptCount val="101"/>
                <c:pt idx="0">
                  <c:v>100</c:v>
                </c:pt>
                <c:pt idx="1">
                  <c:v>109.6478196143186</c:v>
                </c:pt>
                <c:pt idx="2">
                  <c:v>120.22644346174135</c:v>
                </c:pt>
                <c:pt idx="3">
                  <c:v>131.82567385564084</c:v>
                </c:pt>
                <c:pt idx="4">
                  <c:v>144.54397707459285</c:v>
                </c:pt>
                <c:pt idx="5">
                  <c:v>158.48931924611153</c:v>
                </c:pt>
                <c:pt idx="6">
                  <c:v>173.78008287493753</c:v>
                </c:pt>
                <c:pt idx="7">
                  <c:v>190.5460717963248</c:v>
                </c:pt>
                <c:pt idx="8">
                  <c:v>208.92961308540396</c:v>
                </c:pt>
                <c:pt idx="9">
                  <c:v>229.08676527677744</c:v>
                </c:pt>
                <c:pt idx="10">
                  <c:v>251.18864315095806</c:v>
                </c:pt>
                <c:pt idx="11">
                  <c:v>275.42287033381683</c:v>
                </c:pt>
                <c:pt idx="12">
                  <c:v>301.9951720402017</c:v>
                </c:pt>
                <c:pt idx="13">
                  <c:v>331.13112148259137</c:v>
                </c:pt>
                <c:pt idx="14">
                  <c:v>363.0780547701012</c:v>
                </c:pt>
                <c:pt idx="15">
                  <c:v>398.10717055349727</c:v>
                </c:pt>
                <c:pt idx="16">
                  <c:v>436.5158322401658</c:v>
                </c:pt>
                <c:pt idx="17">
                  <c:v>478.6300923226384</c:v>
                </c:pt>
                <c:pt idx="18">
                  <c:v>524.8074602497725</c:v>
                </c:pt>
                <c:pt idx="19">
                  <c:v>575.4399373371571</c:v>
                </c:pt>
                <c:pt idx="20">
                  <c:v>630.9573444801932</c:v>
                </c:pt>
                <c:pt idx="21">
                  <c:v>691.8309709189367</c:v>
                </c:pt>
                <c:pt idx="22">
                  <c:v>758.5775750291838</c:v>
                </c:pt>
                <c:pt idx="23">
                  <c:v>831.7637711026714</c:v>
                </c:pt>
                <c:pt idx="24">
                  <c:v>912.0108393559099</c:v>
                </c:pt>
                <c:pt idx="25">
                  <c:v>999.9999999999998</c:v>
                </c:pt>
                <c:pt idx="26">
                  <c:v>1096.4781961431863</c:v>
                </c:pt>
                <c:pt idx="27">
                  <c:v>1202.2644346174127</c:v>
                </c:pt>
                <c:pt idx="28">
                  <c:v>1318.2567385564064</c:v>
                </c:pt>
                <c:pt idx="29">
                  <c:v>1445.4397707459275</c:v>
                </c:pt>
                <c:pt idx="30">
                  <c:v>1584.8931924611143</c:v>
                </c:pt>
                <c:pt idx="31">
                  <c:v>1737.8008287493758</c:v>
                </c:pt>
                <c:pt idx="32">
                  <c:v>1905.4607179632485</c:v>
                </c:pt>
                <c:pt idx="33">
                  <c:v>2089.296130854038</c:v>
                </c:pt>
                <c:pt idx="34">
                  <c:v>2290.867652767771</c:v>
                </c:pt>
                <c:pt idx="35">
                  <c:v>2511.886431509579</c:v>
                </c:pt>
                <c:pt idx="36">
                  <c:v>2754.2287033381663</c:v>
                </c:pt>
                <c:pt idx="37">
                  <c:v>3019.9517204020176</c:v>
                </c:pt>
                <c:pt idx="38">
                  <c:v>3311.3112148259115</c:v>
                </c:pt>
                <c:pt idx="39">
                  <c:v>3630.7805477010124</c:v>
                </c:pt>
                <c:pt idx="40">
                  <c:v>3981.07170553497</c:v>
                </c:pt>
                <c:pt idx="41">
                  <c:v>4365.158322401663</c:v>
                </c:pt>
                <c:pt idx="42">
                  <c:v>4786.300923226385</c:v>
                </c:pt>
                <c:pt idx="43">
                  <c:v>5248.074602497726</c:v>
                </c:pt>
                <c:pt idx="44">
                  <c:v>5754.399373371567</c:v>
                </c:pt>
                <c:pt idx="45">
                  <c:v>6309.573444801938</c:v>
                </c:pt>
                <c:pt idx="46">
                  <c:v>6918.309709189369</c:v>
                </c:pt>
                <c:pt idx="47">
                  <c:v>7585.775750291839</c:v>
                </c:pt>
                <c:pt idx="48">
                  <c:v>8317.63771102671</c:v>
                </c:pt>
                <c:pt idx="49">
                  <c:v>9120.108393559092</c:v>
                </c:pt>
                <c:pt idx="50">
                  <c:v>9999.99999999999</c:v>
                </c:pt>
                <c:pt idx="51">
                  <c:v>10964.781961431836</c:v>
                </c:pt>
                <c:pt idx="52">
                  <c:v>12022.644346174151</c:v>
                </c:pt>
                <c:pt idx="53">
                  <c:v>13182.567385564067</c:v>
                </c:pt>
                <c:pt idx="54">
                  <c:v>14454.397707459266</c:v>
                </c:pt>
                <c:pt idx="55">
                  <c:v>15848.931924611119</c:v>
                </c:pt>
                <c:pt idx="56">
                  <c:v>17378.00828749373</c:v>
                </c:pt>
                <c:pt idx="57">
                  <c:v>19054.607179632472</c:v>
                </c:pt>
                <c:pt idx="58">
                  <c:v>20892.961308540387</c:v>
                </c:pt>
                <c:pt idx="59">
                  <c:v>22908.67652767771</c:v>
                </c:pt>
                <c:pt idx="60">
                  <c:v>25118.864315095816</c:v>
                </c:pt>
                <c:pt idx="61">
                  <c:v>27542.28703338167</c:v>
                </c:pt>
                <c:pt idx="62">
                  <c:v>30199.517204020158</c:v>
                </c:pt>
                <c:pt idx="63">
                  <c:v>33113.11214825909</c:v>
                </c:pt>
                <c:pt idx="64">
                  <c:v>36307.805477010166</c:v>
                </c:pt>
                <c:pt idx="65">
                  <c:v>39810.71705534974</c:v>
                </c:pt>
                <c:pt idx="66">
                  <c:v>43651.583224016525</c:v>
                </c:pt>
                <c:pt idx="67">
                  <c:v>47863.00923226382</c:v>
                </c:pt>
                <c:pt idx="68">
                  <c:v>52480.74602497713</c:v>
                </c:pt>
                <c:pt idx="69">
                  <c:v>57543.99373371573</c:v>
                </c:pt>
                <c:pt idx="70">
                  <c:v>63095.73444801923</c:v>
                </c:pt>
                <c:pt idx="71">
                  <c:v>69183.09709189365</c:v>
                </c:pt>
                <c:pt idx="72">
                  <c:v>75857.75750291835</c:v>
                </c:pt>
                <c:pt idx="73">
                  <c:v>83176.37711026717</c:v>
                </c:pt>
                <c:pt idx="74">
                  <c:v>91201.08393559087</c:v>
                </c:pt>
                <c:pt idx="75">
                  <c:v>100000</c:v>
                </c:pt>
                <c:pt idx="76">
                  <c:v>109647.81961431848</c:v>
                </c:pt>
                <c:pt idx="77">
                  <c:v>120226.44346174144</c:v>
                </c:pt>
                <c:pt idx="78">
                  <c:v>131825.67385564058</c:v>
                </c:pt>
                <c:pt idx="79">
                  <c:v>144543.97707459255</c:v>
                </c:pt>
                <c:pt idx="80">
                  <c:v>158489.31924611135</c:v>
                </c:pt>
                <c:pt idx="81">
                  <c:v>173780.08287493748</c:v>
                </c:pt>
                <c:pt idx="82">
                  <c:v>190546.0717963246</c:v>
                </c:pt>
                <c:pt idx="83">
                  <c:v>208929.61308540372</c:v>
                </c:pt>
                <c:pt idx="84">
                  <c:v>229086.76527677738</c:v>
                </c:pt>
                <c:pt idx="85">
                  <c:v>251188.643150958</c:v>
                </c:pt>
                <c:pt idx="86">
                  <c:v>275422.8703338165</c:v>
                </c:pt>
                <c:pt idx="87">
                  <c:v>301995.1720402019</c:v>
                </c:pt>
                <c:pt idx="88">
                  <c:v>331131.12148259126</c:v>
                </c:pt>
                <c:pt idx="89">
                  <c:v>363078.0547701014</c:v>
                </c:pt>
                <c:pt idx="90">
                  <c:v>398107.17055349716</c:v>
                </c:pt>
                <c:pt idx="91">
                  <c:v>436515.8322401649</c:v>
                </c:pt>
                <c:pt idx="92">
                  <c:v>478630.0923226387</c:v>
                </c:pt>
                <c:pt idx="93">
                  <c:v>524807.460249772</c:v>
                </c:pt>
                <c:pt idx="94">
                  <c:v>575439.937337157</c:v>
                </c:pt>
                <c:pt idx="95">
                  <c:v>630957.344480193</c:v>
                </c:pt>
                <c:pt idx="96">
                  <c:v>691830.970918936</c:v>
                </c:pt>
                <c:pt idx="97">
                  <c:v>758577.575029183</c:v>
                </c:pt>
                <c:pt idx="98">
                  <c:v>831763.7711026698</c:v>
                </c:pt>
                <c:pt idx="99">
                  <c:v>912010.8393559096</c:v>
                </c:pt>
                <c:pt idx="100">
                  <c:v>999999.9999999978</c:v>
                </c:pt>
              </c:numCache>
            </c:numRef>
          </c:xVal>
          <c:yVal>
            <c:numRef>
              <c:f>Data4!$H$4:$H$104</c:f>
              <c:numCache>
                <c:ptCount val="101"/>
                <c:pt idx="0">
                  <c:v>19.172146296835496</c:v>
                </c:pt>
                <c:pt idx="1">
                  <c:v>19.172146296835496</c:v>
                </c:pt>
                <c:pt idx="2">
                  <c:v>19.172146296835496</c:v>
                </c:pt>
                <c:pt idx="3">
                  <c:v>19.172146296835496</c:v>
                </c:pt>
                <c:pt idx="4">
                  <c:v>19.172146296835496</c:v>
                </c:pt>
                <c:pt idx="5">
                  <c:v>19.172146296835496</c:v>
                </c:pt>
                <c:pt idx="6">
                  <c:v>19.172146296835496</c:v>
                </c:pt>
                <c:pt idx="7">
                  <c:v>19.172146296835496</c:v>
                </c:pt>
                <c:pt idx="8">
                  <c:v>19.172146296835496</c:v>
                </c:pt>
                <c:pt idx="9">
                  <c:v>19.172146296835496</c:v>
                </c:pt>
                <c:pt idx="10">
                  <c:v>19.172146296835496</c:v>
                </c:pt>
                <c:pt idx="11">
                  <c:v>19.172146296835496</c:v>
                </c:pt>
                <c:pt idx="12">
                  <c:v>19.172146296835496</c:v>
                </c:pt>
                <c:pt idx="13">
                  <c:v>19.172146296835496</c:v>
                </c:pt>
                <c:pt idx="14">
                  <c:v>19.172146296835496</c:v>
                </c:pt>
                <c:pt idx="15">
                  <c:v>19.172146296835496</c:v>
                </c:pt>
                <c:pt idx="16">
                  <c:v>19.172146296835496</c:v>
                </c:pt>
                <c:pt idx="17">
                  <c:v>19.172146296835496</c:v>
                </c:pt>
                <c:pt idx="18">
                  <c:v>19.172146296835496</c:v>
                </c:pt>
                <c:pt idx="19">
                  <c:v>19.172146296835496</c:v>
                </c:pt>
                <c:pt idx="20">
                  <c:v>19.172146296835496</c:v>
                </c:pt>
                <c:pt idx="21">
                  <c:v>19.172146296835496</c:v>
                </c:pt>
                <c:pt idx="22">
                  <c:v>19.172146296835496</c:v>
                </c:pt>
                <c:pt idx="23">
                  <c:v>19.172146296835496</c:v>
                </c:pt>
                <c:pt idx="24">
                  <c:v>19.172146296835496</c:v>
                </c:pt>
                <c:pt idx="25">
                  <c:v>19.172146296835496</c:v>
                </c:pt>
                <c:pt idx="26">
                  <c:v>19.172146296835496</c:v>
                </c:pt>
                <c:pt idx="27">
                  <c:v>19.172146296835496</c:v>
                </c:pt>
                <c:pt idx="28">
                  <c:v>19.172146296835496</c:v>
                </c:pt>
                <c:pt idx="29">
                  <c:v>19.172146296835496</c:v>
                </c:pt>
                <c:pt idx="30">
                  <c:v>19.172146296835496</c:v>
                </c:pt>
                <c:pt idx="31">
                  <c:v>19.172146296835496</c:v>
                </c:pt>
                <c:pt idx="32">
                  <c:v>19.172146296835496</c:v>
                </c:pt>
                <c:pt idx="33">
                  <c:v>19.172146296835496</c:v>
                </c:pt>
                <c:pt idx="34">
                  <c:v>19.172146296835496</c:v>
                </c:pt>
                <c:pt idx="35">
                  <c:v>19.172146296835496</c:v>
                </c:pt>
                <c:pt idx="36">
                  <c:v>19.172146296835496</c:v>
                </c:pt>
                <c:pt idx="37">
                  <c:v>19.172146296835496</c:v>
                </c:pt>
                <c:pt idx="38">
                  <c:v>19.172146296835496</c:v>
                </c:pt>
                <c:pt idx="39">
                  <c:v>19.172146296835496</c:v>
                </c:pt>
                <c:pt idx="40">
                  <c:v>19.172146296835496</c:v>
                </c:pt>
                <c:pt idx="41">
                  <c:v>19.172146296835496</c:v>
                </c:pt>
                <c:pt idx="42">
                  <c:v>19.172146296835496</c:v>
                </c:pt>
                <c:pt idx="43">
                  <c:v>19.172146296835496</c:v>
                </c:pt>
                <c:pt idx="44">
                  <c:v>19.172146296835496</c:v>
                </c:pt>
                <c:pt idx="45">
                  <c:v>19.172146296835496</c:v>
                </c:pt>
                <c:pt idx="46">
                  <c:v>19.172146296835496</c:v>
                </c:pt>
                <c:pt idx="47">
                  <c:v>19.172146296835496</c:v>
                </c:pt>
                <c:pt idx="48">
                  <c:v>19.172146296835496</c:v>
                </c:pt>
                <c:pt idx="49">
                  <c:v>19.172146296835496</c:v>
                </c:pt>
                <c:pt idx="50">
                  <c:v>19.172146296835496</c:v>
                </c:pt>
                <c:pt idx="51">
                  <c:v>19.172146296835496</c:v>
                </c:pt>
                <c:pt idx="52">
                  <c:v>19.172146296835496</c:v>
                </c:pt>
                <c:pt idx="53">
                  <c:v>19.172146296835496</c:v>
                </c:pt>
                <c:pt idx="54">
                  <c:v>19.172146296835496</c:v>
                </c:pt>
                <c:pt idx="55">
                  <c:v>19.172146296835496</c:v>
                </c:pt>
                <c:pt idx="56">
                  <c:v>19.172146296835496</c:v>
                </c:pt>
                <c:pt idx="57">
                  <c:v>19.172146296835496</c:v>
                </c:pt>
                <c:pt idx="58">
                  <c:v>19.172146296835496</c:v>
                </c:pt>
                <c:pt idx="59">
                  <c:v>19.172146296835496</c:v>
                </c:pt>
                <c:pt idx="60">
                  <c:v>19.172146296835496</c:v>
                </c:pt>
                <c:pt idx="61">
                  <c:v>19.172146296835496</c:v>
                </c:pt>
                <c:pt idx="62">
                  <c:v>19.172146296835496</c:v>
                </c:pt>
                <c:pt idx="63">
                  <c:v>19.172146296835496</c:v>
                </c:pt>
                <c:pt idx="64">
                  <c:v>19.172146296835496</c:v>
                </c:pt>
                <c:pt idx="65">
                  <c:v>19.172146296835496</c:v>
                </c:pt>
                <c:pt idx="66">
                  <c:v>19.172146296835496</c:v>
                </c:pt>
                <c:pt idx="67">
                  <c:v>19.172146296835496</c:v>
                </c:pt>
                <c:pt idx="68">
                  <c:v>19.172146296835496</c:v>
                </c:pt>
                <c:pt idx="69">
                  <c:v>19.172146296835496</c:v>
                </c:pt>
                <c:pt idx="70">
                  <c:v>19.172146296835496</c:v>
                </c:pt>
                <c:pt idx="71">
                  <c:v>19.172146296835496</c:v>
                </c:pt>
                <c:pt idx="72">
                  <c:v>19.172146296835496</c:v>
                </c:pt>
                <c:pt idx="73">
                  <c:v>19.172146296835496</c:v>
                </c:pt>
                <c:pt idx="74">
                  <c:v>19.172146296835496</c:v>
                </c:pt>
                <c:pt idx="75">
                  <c:v>19.172146296835496</c:v>
                </c:pt>
                <c:pt idx="76">
                  <c:v>19.172146296835496</c:v>
                </c:pt>
                <c:pt idx="77">
                  <c:v>19.172146296835496</c:v>
                </c:pt>
                <c:pt idx="78">
                  <c:v>19.172146296835496</c:v>
                </c:pt>
                <c:pt idx="79">
                  <c:v>19.172146296835496</c:v>
                </c:pt>
                <c:pt idx="80">
                  <c:v>19.172146296835496</c:v>
                </c:pt>
                <c:pt idx="81">
                  <c:v>19.172146296835496</c:v>
                </c:pt>
                <c:pt idx="82">
                  <c:v>19.172146296835496</c:v>
                </c:pt>
                <c:pt idx="83">
                  <c:v>19.172146296835496</c:v>
                </c:pt>
                <c:pt idx="84">
                  <c:v>19.172146296835496</c:v>
                </c:pt>
                <c:pt idx="85">
                  <c:v>19.172146296835496</c:v>
                </c:pt>
                <c:pt idx="86">
                  <c:v>19.172146296835496</c:v>
                </c:pt>
                <c:pt idx="87">
                  <c:v>19.172146296835496</c:v>
                </c:pt>
                <c:pt idx="88">
                  <c:v>19.172146296835496</c:v>
                </c:pt>
                <c:pt idx="89">
                  <c:v>19.172146296835496</c:v>
                </c:pt>
                <c:pt idx="90">
                  <c:v>19.172146296835496</c:v>
                </c:pt>
                <c:pt idx="91">
                  <c:v>19.172146296835496</c:v>
                </c:pt>
                <c:pt idx="92">
                  <c:v>19.172146296835496</c:v>
                </c:pt>
                <c:pt idx="93">
                  <c:v>19.172146296835496</c:v>
                </c:pt>
                <c:pt idx="94">
                  <c:v>19.172146296835496</c:v>
                </c:pt>
                <c:pt idx="95">
                  <c:v>19.172146296835496</c:v>
                </c:pt>
                <c:pt idx="96">
                  <c:v>19.172146296835496</c:v>
                </c:pt>
                <c:pt idx="97">
                  <c:v>19.172146296835496</c:v>
                </c:pt>
                <c:pt idx="98">
                  <c:v>19.172146296835496</c:v>
                </c:pt>
                <c:pt idx="99">
                  <c:v>19.172146296835496</c:v>
                </c:pt>
                <c:pt idx="100">
                  <c:v>19.172146296835496</c:v>
                </c:pt>
              </c:numCache>
            </c:numRef>
          </c:yVal>
          <c:smooth val="1"/>
        </c:ser>
        <c:axId val="11838714"/>
        <c:axId val="39439563"/>
      </c:scatterChart>
      <c:valAx>
        <c:axId val="11838714"/>
        <c:scaling>
          <c:logBase val="10"/>
          <c:orientation val="minMax"/>
          <c:max val="1000000"/>
          <c:min val="100"/>
        </c:scaling>
        <c:axPos val="b"/>
        <c:title>
          <c:tx>
            <c:rich>
              <a:bodyPr vert="horz" rot="0" anchor="ctr"/>
              <a:lstStyle/>
              <a:p>
                <a:pPr algn="ctr">
                  <a:defRPr/>
                </a:pPr>
                <a:r>
                  <a:rPr lang="en-US" cap="none" sz="925" b="1" i="0" u="none" baseline="0">
                    <a:latin typeface="Arial"/>
                    <a:ea typeface="Arial"/>
                    <a:cs typeface="Arial"/>
                  </a:rPr>
                  <a:t>Frequency (Hz)</a:t>
                </a:r>
              </a:p>
            </c:rich>
          </c:tx>
          <c:layout/>
          <c:overlay val="0"/>
          <c:spPr>
            <a:noFill/>
            <a:ln>
              <a:noFill/>
            </a:ln>
          </c:spPr>
        </c:title>
        <c:majorGridlines/>
        <c:minorGridlines/>
        <c:delete val="0"/>
        <c:numFmt formatCode="General" sourceLinked="1"/>
        <c:majorTickMark val="out"/>
        <c:minorTickMark val="none"/>
        <c:tickLblPos val="nextTo"/>
        <c:crossAx val="39439563"/>
        <c:crossesAt val="-50"/>
        <c:crossBetween val="midCat"/>
        <c:dispUnits/>
      </c:valAx>
      <c:valAx>
        <c:axId val="39439563"/>
        <c:scaling>
          <c:orientation val="minMax"/>
          <c:max val="50"/>
          <c:min val="-50"/>
        </c:scaling>
        <c:axPos val="l"/>
        <c:title>
          <c:tx>
            <c:rich>
              <a:bodyPr vert="horz" rot="-5400000" anchor="ctr"/>
              <a:lstStyle/>
              <a:p>
                <a:pPr algn="ctr">
                  <a:defRPr/>
                </a:pPr>
                <a:r>
                  <a:rPr lang="en-US" cap="none" sz="925" b="1" i="0" u="none" baseline="0">
                    <a:latin typeface="Arial"/>
                    <a:ea typeface="Arial"/>
                    <a:cs typeface="Arial"/>
                  </a:rPr>
                  <a:t>Impedance (dB-Ohm)</a:t>
                </a:r>
              </a:p>
            </c:rich>
          </c:tx>
          <c:layout/>
          <c:overlay val="0"/>
          <c:spPr>
            <a:noFill/>
            <a:ln>
              <a:noFill/>
            </a:ln>
          </c:spPr>
        </c:title>
        <c:majorGridlines/>
        <c:delete val="0"/>
        <c:numFmt formatCode="General" sourceLinked="1"/>
        <c:majorTickMark val="out"/>
        <c:minorTickMark val="none"/>
        <c:tickLblPos val="nextTo"/>
        <c:crossAx val="11838714"/>
        <c:crosses val="autoZero"/>
        <c:crossBetween val="midCat"/>
        <c:dispUnits/>
      </c:valAx>
      <c:spPr>
        <a:noFill/>
        <a:ln w="12700">
          <a:solidFill>
            <a:srgbClr val="808080"/>
          </a:solidFill>
        </a:ln>
      </c:spPr>
    </c:plotArea>
    <c:legend>
      <c:legendPos val="r"/>
      <c:layout>
        <c:manualLayout>
          <c:xMode val="edge"/>
          <c:yMode val="edge"/>
          <c:x val="0.1705"/>
          <c:y val="0.0825"/>
          <c:w val="0.256"/>
          <c:h val="0.12225"/>
        </c:manualLayout>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Synchronous Rectification MOSFET Stress Voltage</a:t>
            </a:r>
          </a:p>
        </c:rich>
      </c:tx>
      <c:layout/>
      <c:spPr>
        <a:noFill/>
        <a:ln>
          <a:noFill/>
        </a:ln>
      </c:spPr>
    </c:title>
    <c:plotArea>
      <c:layout>
        <c:manualLayout>
          <c:xMode val="edge"/>
          <c:yMode val="edge"/>
          <c:x val="0.0615"/>
          <c:y val="0.153"/>
          <c:w val="0.91525"/>
          <c:h val="0.68375"/>
        </c:manualLayout>
      </c:layout>
      <c:scatterChart>
        <c:scatterStyle val="smooth"/>
        <c:varyColors val="0"/>
        <c:ser>
          <c:idx val="1"/>
          <c:order val="0"/>
          <c:tx>
            <c:strRef>
              <c:f>Data2!$C$70</c:f>
              <c:strCache>
                <c:ptCount val="1"/>
                <c:pt idx="0">
                  <c:v>Forward MOSFET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Data2!$A$71:$A$81</c:f>
              <c:numCache>
                <c:ptCount val="11"/>
                <c:pt idx="0">
                  <c:v>33</c:v>
                </c:pt>
                <c:pt idx="1">
                  <c:v>37.3</c:v>
                </c:pt>
                <c:pt idx="2">
                  <c:v>41.599999999999994</c:v>
                </c:pt>
                <c:pt idx="3">
                  <c:v>45.89999999999999</c:v>
                </c:pt>
                <c:pt idx="4">
                  <c:v>50.19999999999999</c:v>
                </c:pt>
                <c:pt idx="5">
                  <c:v>54.499999999999986</c:v>
                </c:pt>
                <c:pt idx="6">
                  <c:v>58.79999999999998</c:v>
                </c:pt>
                <c:pt idx="7">
                  <c:v>63.09999999999998</c:v>
                </c:pt>
                <c:pt idx="8">
                  <c:v>67.39999999999998</c:v>
                </c:pt>
                <c:pt idx="9">
                  <c:v>71.69999999999997</c:v>
                </c:pt>
                <c:pt idx="10">
                  <c:v>75.99999999999997</c:v>
                </c:pt>
              </c:numCache>
            </c:numRef>
          </c:xVal>
          <c:yVal>
            <c:numRef>
              <c:f>Data2!$C$71:$C$81</c:f>
              <c:numCache>
                <c:ptCount val="11"/>
                <c:pt idx="0">
                  <c:v>9.235679214402616</c:v>
                </c:pt>
                <c:pt idx="1">
                  <c:v>7.737781274239855</c:v>
                </c:pt>
                <c:pt idx="2">
                  <c:v>6.855741037113184</c:v>
                </c:pt>
                <c:pt idx="3">
                  <c:v>6.274511086401986</c:v>
                </c:pt>
                <c:pt idx="4">
                  <c:v>5.862626605462815</c:v>
                </c:pt>
                <c:pt idx="5">
                  <c:v>5.555488317060615</c:v>
                </c:pt>
                <c:pt idx="6">
                  <c:v>5.317646832570482</c:v>
                </c:pt>
                <c:pt idx="7">
                  <c:v>5.128027397615381</c:v>
                </c:pt>
                <c:pt idx="8">
                  <c:v>4.973314434108566</c:v>
                </c:pt>
                <c:pt idx="9">
                  <c:v>4.844681607713113</c:v>
                </c:pt>
                <c:pt idx="10">
                  <c:v>4.73604699958036</c:v>
                </c:pt>
              </c:numCache>
            </c:numRef>
          </c:yVal>
          <c:smooth val="1"/>
        </c:ser>
        <c:ser>
          <c:idx val="0"/>
          <c:order val="1"/>
          <c:tx>
            <c:strRef>
              <c:f>Data2!$B$70</c:f>
              <c:strCache>
                <c:ptCount val="1"/>
                <c:pt idx="0">
                  <c:v>Freewheeling MOSFET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Data2!$A$71:$A$81</c:f>
              <c:numCache>
                <c:ptCount val="11"/>
                <c:pt idx="0">
                  <c:v>33</c:v>
                </c:pt>
                <c:pt idx="1">
                  <c:v>37.3</c:v>
                </c:pt>
                <c:pt idx="2">
                  <c:v>41.599999999999994</c:v>
                </c:pt>
                <c:pt idx="3">
                  <c:v>45.89999999999999</c:v>
                </c:pt>
                <c:pt idx="4">
                  <c:v>50.19999999999999</c:v>
                </c:pt>
                <c:pt idx="5">
                  <c:v>54.499999999999986</c:v>
                </c:pt>
                <c:pt idx="6">
                  <c:v>58.79999999999998</c:v>
                </c:pt>
                <c:pt idx="7">
                  <c:v>63.09999999999998</c:v>
                </c:pt>
                <c:pt idx="8">
                  <c:v>67.39999999999998</c:v>
                </c:pt>
                <c:pt idx="9">
                  <c:v>71.69999999999997</c:v>
                </c:pt>
                <c:pt idx="10">
                  <c:v>75.99999999999997</c:v>
                </c:pt>
              </c:numCache>
            </c:numRef>
          </c:xVal>
          <c:yVal>
            <c:numRef>
              <c:f>Data2!$B$71:$B$81</c:f>
              <c:numCache>
                <c:ptCount val="11"/>
                <c:pt idx="0">
                  <c:v>5.5</c:v>
                </c:pt>
                <c:pt idx="1">
                  <c:v>6.216666666666666</c:v>
                </c:pt>
                <c:pt idx="2">
                  <c:v>6.933333333333333</c:v>
                </c:pt>
                <c:pt idx="3">
                  <c:v>7.649999999999999</c:v>
                </c:pt>
                <c:pt idx="4">
                  <c:v>8.366666666666665</c:v>
                </c:pt>
                <c:pt idx="5">
                  <c:v>9.08333333333333</c:v>
                </c:pt>
                <c:pt idx="6">
                  <c:v>9.799999999999997</c:v>
                </c:pt>
                <c:pt idx="7">
                  <c:v>10.516666666666664</c:v>
                </c:pt>
                <c:pt idx="8">
                  <c:v>11.233333333333329</c:v>
                </c:pt>
                <c:pt idx="9">
                  <c:v>11.949999999999996</c:v>
                </c:pt>
                <c:pt idx="10">
                  <c:v>12.666666666666663</c:v>
                </c:pt>
              </c:numCache>
            </c:numRef>
          </c:yVal>
          <c:smooth val="1"/>
        </c:ser>
        <c:axId val="19411748"/>
        <c:axId val="40488005"/>
      </c:scatterChart>
      <c:valAx>
        <c:axId val="19411748"/>
        <c:scaling>
          <c:orientation val="minMax"/>
          <c:min val="30"/>
        </c:scaling>
        <c:axPos val="b"/>
        <c:title>
          <c:tx>
            <c:rich>
              <a:bodyPr vert="horz" rot="0" anchor="ctr"/>
              <a:lstStyle/>
              <a:p>
                <a:pPr algn="ctr">
                  <a:defRPr/>
                </a:pPr>
                <a:r>
                  <a:rPr lang="en-US" cap="none" sz="875" b="1" i="0" u="none" baseline="0">
                    <a:latin typeface="Arial"/>
                    <a:ea typeface="Arial"/>
                    <a:cs typeface="Arial"/>
                  </a:rPr>
                  <a:t>V</a:t>
                </a:r>
                <a:r>
                  <a:rPr lang="en-US" cap="none" sz="875" b="1" i="0" u="none" baseline="-25000">
                    <a:latin typeface="Arial"/>
                    <a:ea typeface="Arial"/>
                    <a:cs typeface="Arial"/>
                  </a:rPr>
                  <a:t>in</a:t>
                </a:r>
                <a:r>
                  <a:rPr lang="en-US" cap="none" sz="875" b="1" i="0" u="none" baseline="0">
                    <a:latin typeface="Arial"/>
                    <a:ea typeface="Arial"/>
                    <a:cs typeface="Arial"/>
                  </a:rPr>
                  <a:t>, Input Voltage (V)</a:t>
                </a:r>
              </a:p>
            </c:rich>
          </c:tx>
          <c:layout>
            <c:manualLayout>
              <c:xMode val="factor"/>
              <c:yMode val="factor"/>
              <c:x val="0.00425"/>
              <c:y val="0"/>
            </c:manualLayout>
          </c:layout>
          <c:overlay val="0"/>
          <c:spPr>
            <a:noFill/>
            <a:ln>
              <a:noFill/>
            </a:ln>
          </c:spPr>
        </c:title>
        <c:majorGridlines/>
        <c:delete val="0"/>
        <c:numFmt formatCode="0" sourceLinked="0"/>
        <c:majorTickMark val="out"/>
        <c:minorTickMark val="none"/>
        <c:tickLblPos val="nextTo"/>
        <c:crossAx val="40488005"/>
        <c:crosses val="autoZero"/>
        <c:crossBetween val="midCat"/>
        <c:dispUnits/>
      </c:valAx>
      <c:valAx>
        <c:axId val="40488005"/>
        <c:scaling>
          <c:orientation val="minMax"/>
        </c:scaling>
        <c:axPos val="l"/>
        <c:title>
          <c:tx>
            <c:rich>
              <a:bodyPr vert="horz" rot="-5400000" anchor="ctr"/>
              <a:lstStyle/>
              <a:p>
                <a:pPr algn="ctr">
                  <a:defRPr/>
                </a:pPr>
                <a:r>
                  <a:rPr lang="en-US" cap="none" sz="875" b="1" i="0" u="none" baseline="0">
                    <a:latin typeface="Arial"/>
                    <a:ea typeface="Arial"/>
                    <a:cs typeface="Arial"/>
                  </a:rPr>
                  <a:t>Stress Voltage (V)</a:t>
                </a:r>
              </a:p>
            </c:rich>
          </c:tx>
          <c:layout/>
          <c:overlay val="0"/>
          <c:spPr>
            <a:noFill/>
            <a:ln>
              <a:noFill/>
            </a:ln>
          </c:spPr>
        </c:title>
        <c:majorGridlines/>
        <c:delete val="0"/>
        <c:numFmt formatCode="0" sourceLinked="0"/>
        <c:majorTickMark val="out"/>
        <c:minorTickMark val="none"/>
        <c:tickLblPos val="nextTo"/>
        <c:crossAx val="19411748"/>
        <c:crosses val="autoZero"/>
        <c:crossBetween val="midCat"/>
        <c:dispUnits/>
      </c:valAx>
      <c:spPr>
        <a:noFill/>
        <a:ln w="12700">
          <a:solidFill>
            <a:srgbClr val="808080"/>
          </a:solidFill>
        </a:ln>
      </c:spPr>
    </c:plotArea>
    <c:legend>
      <c:legendPos val="b"/>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Synchronous Rectifier Losses</a:t>
            </a:r>
          </a:p>
        </c:rich>
      </c:tx>
      <c:layout/>
      <c:spPr>
        <a:noFill/>
        <a:ln>
          <a:noFill/>
        </a:ln>
      </c:spPr>
    </c:title>
    <c:plotArea>
      <c:layout>
        <c:manualLayout>
          <c:xMode val="edge"/>
          <c:yMode val="edge"/>
          <c:x val="0.066"/>
          <c:y val="0.12"/>
          <c:w val="0.9075"/>
          <c:h val="0.6945"/>
        </c:manualLayout>
      </c:layout>
      <c:scatterChart>
        <c:scatterStyle val="smooth"/>
        <c:varyColors val="0"/>
        <c:ser>
          <c:idx val="0"/>
          <c:order val="0"/>
          <c:tx>
            <c:strRef>
              <c:f>Data2!$B$70</c:f>
              <c:strCache>
                <c:ptCount val="1"/>
                <c:pt idx="0">
                  <c:v>Freewheeling MOSFET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Data2!$A$71:$A$81</c:f>
              <c:numCache>
                <c:ptCount val="11"/>
                <c:pt idx="0">
                  <c:v>33</c:v>
                </c:pt>
                <c:pt idx="1">
                  <c:v>37.3</c:v>
                </c:pt>
                <c:pt idx="2">
                  <c:v>41.599999999999994</c:v>
                </c:pt>
                <c:pt idx="3">
                  <c:v>45.89999999999999</c:v>
                </c:pt>
                <c:pt idx="4">
                  <c:v>50.19999999999999</c:v>
                </c:pt>
                <c:pt idx="5">
                  <c:v>54.499999999999986</c:v>
                </c:pt>
                <c:pt idx="6">
                  <c:v>58.79999999999998</c:v>
                </c:pt>
                <c:pt idx="7">
                  <c:v>63.09999999999998</c:v>
                </c:pt>
                <c:pt idx="8">
                  <c:v>67.39999999999998</c:v>
                </c:pt>
                <c:pt idx="9">
                  <c:v>71.69999999999997</c:v>
                </c:pt>
                <c:pt idx="10">
                  <c:v>75.99999999999997</c:v>
                </c:pt>
              </c:numCache>
            </c:numRef>
          </c:xVal>
          <c:yVal>
            <c:numRef>
              <c:f>Data2!$M$71:$M$81</c:f>
              <c:numCache>
                <c:ptCount val="11"/>
                <c:pt idx="0">
                  <c:v>2.2737518003273323</c:v>
                </c:pt>
                <c:pt idx="1">
                  <c:v>2.5338593530430686</c:v>
                </c:pt>
                <c:pt idx="2">
                  <c:v>2.7463032836904073</c:v>
                </c:pt>
                <c:pt idx="3">
                  <c:v>2.921647084409013</c:v>
                </c:pt>
                <c:pt idx="4">
                  <c:v>3.068343862930377</c:v>
                </c:pt>
                <c:pt idx="5">
                  <c:v>3.192685202934533</c:v>
                </c:pt>
                <c:pt idx="6">
                  <c:v>3.2993268502281485</c:v>
                </c:pt>
                <c:pt idx="7">
                  <c:v>3.391749471463567</c:v>
                </c:pt>
                <c:pt idx="8">
                  <c:v>3.472592993880346</c:v>
                </c:pt>
                <c:pt idx="9">
                  <c:v>3.5438898917977255</c:v>
                </c:pt>
                <c:pt idx="10">
                  <c:v>3.6072275586942593</c:v>
                </c:pt>
              </c:numCache>
            </c:numRef>
          </c:yVal>
          <c:smooth val="1"/>
        </c:ser>
        <c:ser>
          <c:idx val="1"/>
          <c:order val="1"/>
          <c:tx>
            <c:strRef>
              <c:f>Data2!$C$70</c:f>
              <c:strCache>
                <c:ptCount val="1"/>
                <c:pt idx="0">
                  <c:v>Forward MOSFET</c:v>
                </c:pt>
              </c:strCache>
            </c:strRef>
          </c:tx>
          <c:extLst>
            <c:ext xmlns:c14="http://schemas.microsoft.com/office/drawing/2007/8/2/chart" uri="{6F2FDCE9-48DA-4B69-8628-5D25D57E5C99}">
              <c14:invertSolidFillFmt>
                <c14:spPr>
                  <a:solidFill>
                    <a:srgbClr val="000000"/>
                  </a:solidFill>
                </c14:spPr>
              </c14:invertSolidFillFmt>
            </c:ext>
          </c:extLst>
          <c:xVal>
            <c:numRef>
              <c:f>Data2!$A$71:$A$81</c:f>
              <c:numCache>
                <c:ptCount val="11"/>
                <c:pt idx="0">
                  <c:v>33</c:v>
                </c:pt>
                <c:pt idx="1">
                  <c:v>37.3</c:v>
                </c:pt>
                <c:pt idx="2">
                  <c:v>41.599999999999994</c:v>
                </c:pt>
                <c:pt idx="3">
                  <c:v>45.89999999999999</c:v>
                </c:pt>
                <c:pt idx="4">
                  <c:v>50.19999999999999</c:v>
                </c:pt>
                <c:pt idx="5">
                  <c:v>54.499999999999986</c:v>
                </c:pt>
                <c:pt idx="6">
                  <c:v>58.79999999999998</c:v>
                </c:pt>
                <c:pt idx="7">
                  <c:v>63.09999999999998</c:v>
                </c:pt>
                <c:pt idx="8">
                  <c:v>67.39999999999998</c:v>
                </c:pt>
                <c:pt idx="9">
                  <c:v>71.69999999999997</c:v>
                </c:pt>
                <c:pt idx="10">
                  <c:v>75.99999999999997</c:v>
                </c:pt>
              </c:numCache>
            </c:numRef>
          </c:xVal>
          <c:yVal>
            <c:numRef>
              <c:f>Data2!$L$71:$L$81</c:f>
              <c:numCache>
                <c:ptCount val="11"/>
                <c:pt idx="0">
                  <c:v>3.3837597790507363</c:v>
                </c:pt>
                <c:pt idx="1">
                  <c:v>3.094114905405727</c:v>
                </c:pt>
                <c:pt idx="2">
                  <c:v>2.8682999185338134</c:v>
                </c:pt>
                <c:pt idx="3">
                  <c:v>2.687481331609039</c:v>
                </c:pt>
                <c:pt idx="4">
                  <c:v>2.5397550854630215</c:v>
                </c:pt>
                <c:pt idx="5">
                  <c:v>2.417133865388308</c:v>
                </c:pt>
                <c:pt idx="6">
                  <c:v>2.314031379126827</c:v>
                </c:pt>
                <c:pt idx="7">
                  <c:v>2.226413747723836</c:v>
                </c:pt>
                <c:pt idx="8">
                  <c:v>2.151291510015003</c:v>
                </c:pt>
                <c:pt idx="9">
                  <c:v>2.0864005004047437</c:v>
                </c:pt>
                <c:pt idx="10">
                  <c:v>2.029993675044725</c:v>
                </c:pt>
              </c:numCache>
            </c:numRef>
          </c:yVal>
          <c:smooth val="1"/>
        </c:ser>
        <c:axId val="28847726"/>
        <c:axId val="58302943"/>
      </c:scatterChart>
      <c:valAx>
        <c:axId val="28847726"/>
        <c:scaling>
          <c:orientation val="minMax"/>
          <c:min val="30"/>
        </c:scaling>
        <c:axPos val="b"/>
        <c:title>
          <c:tx>
            <c:rich>
              <a:bodyPr vert="horz" rot="0" anchor="ctr"/>
              <a:lstStyle/>
              <a:p>
                <a:pPr algn="ctr">
                  <a:defRPr/>
                </a:pPr>
                <a:r>
                  <a:rPr lang="en-US" cap="none" sz="875" b="1" i="0" u="none" baseline="0">
                    <a:latin typeface="Arial"/>
                    <a:ea typeface="Arial"/>
                    <a:cs typeface="Arial"/>
                  </a:rPr>
                  <a:t>V</a:t>
                </a:r>
                <a:r>
                  <a:rPr lang="en-US" cap="none" sz="875" b="1" i="0" u="none" baseline="-25000">
                    <a:latin typeface="Arial"/>
                    <a:ea typeface="Arial"/>
                    <a:cs typeface="Arial"/>
                  </a:rPr>
                  <a:t>in</a:t>
                </a:r>
                <a:r>
                  <a:rPr lang="en-US" cap="none" sz="875" b="1" i="0" u="none" baseline="0">
                    <a:latin typeface="Arial"/>
                    <a:ea typeface="Arial"/>
                    <a:cs typeface="Arial"/>
                  </a:rPr>
                  <a:t>, Input Voltage (V)</a:t>
                </a:r>
              </a:p>
            </c:rich>
          </c:tx>
          <c:layout/>
          <c:overlay val="0"/>
          <c:spPr>
            <a:noFill/>
            <a:ln>
              <a:noFill/>
            </a:ln>
          </c:spPr>
        </c:title>
        <c:majorGridlines/>
        <c:delete val="0"/>
        <c:numFmt formatCode="0" sourceLinked="0"/>
        <c:majorTickMark val="out"/>
        <c:minorTickMark val="none"/>
        <c:tickLblPos val="nextTo"/>
        <c:crossAx val="58302943"/>
        <c:crosses val="autoZero"/>
        <c:crossBetween val="midCat"/>
        <c:dispUnits/>
      </c:valAx>
      <c:valAx>
        <c:axId val="58302943"/>
        <c:scaling>
          <c:orientation val="minMax"/>
        </c:scaling>
        <c:axPos val="l"/>
        <c:title>
          <c:tx>
            <c:rich>
              <a:bodyPr vert="horz" rot="-5400000" anchor="ctr"/>
              <a:lstStyle/>
              <a:p>
                <a:pPr algn="ctr">
                  <a:defRPr/>
                </a:pPr>
                <a:r>
                  <a:rPr lang="en-US" cap="none" sz="875" b="1" i="0" u="none" baseline="0">
                    <a:latin typeface="Arial"/>
                    <a:ea typeface="Arial"/>
                    <a:cs typeface="Arial"/>
                  </a:rPr>
                  <a:t>Power (W)</a:t>
                </a:r>
              </a:p>
            </c:rich>
          </c:tx>
          <c:layout/>
          <c:overlay val="0"/>
          <c:spPr>
            <a:noFill/>
            <a:ln>
              <a:noFill/>
            </a:ln>
          </c:spPr>
        </c:title>
        <c:majorGridlines/>
        <c:delete val="0"/>
        <c:numFmt formatCode="0.0" sourceLinked="0"/>
        <c:majorTickMark val="out"/>
        <c:minorTickMark val="none"/>
        <c:tickLblPos val="nextTo"/>
        <c:crossAx val="28847726"/>
        <c:crosses val="autoZero"/>
        <c:crossBetween val="midCat"/>
        <c:dispUnits/>
      </c:valAx>
      <c:spPr>
        <a:noFill/>
        <a:ln w="12700">
          <a:solidFill>
            <a:srgbClr val="808080"/>
          </a:solidFill>
        </a:ln>
      </c:spPr>
    </c:plotArea>
    <c:legend>
      <c:legendPos val="b"/>
      <c:layout>
        <c:manualLayout>
          <c:xMode val="edge"/>
          <c:yMode val="edge"/>
          <c:x val="0.06925"/>
          <c:y val="0.909"/>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02675"/>
          <c:w val="0.83875"/>
          <c:h val="0.88475"/>
        </c:manualLayout>
      </c:layout>
      <c:scatterChart>
        <c:scatterStyle val="smooth"/>
        <c:varyColors val="0"/>
        <c:ser>
          <c:idx val="0"/>
          <c:order val="0"/>
          <c:tx>
            <c:v>Ripple Voltage at Ligh Line</c:v>
          </c:tx>
          <c:extLst>
            <c:ext xmlns:c14="http://schemas.microsoft.com/office/drawing/2007/8/2/chart" uri="{6F2FDCE9-48DA-4B69-8628-5D25D57E5C99}">
              <c14:invertSolidFillFmt>
                <c14:spPr>
                  <a:solidFill>
                    <a:srgbClr val="000000"/>
                  </a:solidFill>
                </c14:spPr>
              </c14:invertSolidFillFmt>
            </c:ext>
          </c:extLst>
          <c:xVal>
            <c:numRef>
              <c:f>Data2!$A$91:$A$101</c:f>
              <c:numCache>
                <c:ptCount val="11"/>
                <c:pt idx="0">
                  <c:v>2</c:v>
                </c:pt>
                <c:pt idx="1">
                  <c:v>3.7</c:v>
                </c:pt>
                <c:pt idx="2">
                  <c:v>5.4</c:v>
                </c:pt>
                <c:pt idx="3">
                  <c:v>7.1000000000000005</c:v>
                </c:pt>
                <c:pt idx="4">
                  <c:v>8.8</c:v>
                </c:pt>
                <c:pt idx="5">
                  <c:v>10.5</c:v>
                </c:pt>
                <c:pt idx="6">
                  <c:v>12.2</c:v>
                </c:pt>
                <c:pt idx="7">
                  <c:v>13.899999999999999</c:v>
                </c:pt>
                <c:pt idx="8">
                  <c:v>15.599999999999998</c:v>
                </c:pt>
                <c:pt idx="9">
                  <c:v>17.299999999999997</c:v>
                </c:pt>
                <c:pt idx="10">
                  <c:v>18.999999999999996</c:v>
                </c:pt>
              </c:numCache>
            </c:numRef>
          </c:xVal>
          <c:yVal>
            <c:numRef>
              <c:f>Data2!$I$91:$I$101</c:f>
              <c:numCache>
                <c:ptCount val="11"/>
                <c:pt idx="0">
                  <c:v>55.18478841882907</c:v>
                </c:pt>
                <c:pt idx="1">
                  <c:v>32.62119239650332</c:v>
                </c:pt>
                <c:pt idx="2">
                  <c:v>23.254946247542193</c:v>
                </c:pt>
                <c:pt idx="3">
                  <c:v>18.09004417528979</c:v>
                </c:pt>
                <c:pt idx="4">
                  <c:v>14.809787388820354</c:v>
                </c:pt>
                <c:pt idx="5">
                  <c:v>12.539504579340516</c:v>
                </c:pt>
                <c:pt idx="6">
                  <c:v>10.874131277682196</c:v>
                </c:pt>
                <c:pt idx="7">
                  <c:v>9.599964089537025</c:v>
                </c:pt>
                <c:pt idx="8">
                  <c:v>8.593474333354195</c:v>
                </c:pt>
                <c:pt idx="9">
                  <c:v>7.778240068201313</c:v>
                </c:pt>
                <c:pt idx="10">
                  <c:v>7.104427685369629</c:v>
                </c:pt>
              </c:numCache>
            </c:numRef>
          </c:yVal>
          <c:smooth val="1"/>
        </c:ser>
        <c:axId val="54964440"/>
        <c:axId val="24917913"/>
      </c:scatterChart>
      <c:scatterChart>
        <c:scatterStyle val="lineMarker"/>
        <c:varyColors val="0"/>
        <c:ser>
          <c:idx val="1"/>
          <c:order val="1"/>
          <c:tx>
            <c:v>Flux at Low Line</c:v>
          </c:tx>
          <c:extLst>
            <c:ext xmlns:c14="http://schemas.microsoft.com/office/drawing/2007/8/2/chart" uri="{6F2FDCE9-48DA-4B69-8628-5D25D57E5C99}">
              <c14:invertSolidFillFmt>
                <c14:spPr>
                  <a:solidFill>
                    <a:srgbClr val="000000"/>
                  </a:solidFill>
                </c14:spPr>
              </c14:invertSolidFillFmt>
            </c:ext>
          </c:extLst>
          <c:xVal>
            <c:numRef>
              <c:f>Data2!$A$91:$A$101</c:f>
              <c:numCache>
                <c:ptCount val="11"/>
                <c:pt idx="0">
                  <c:v>2</c:v>
                </c:pt>
                <c:pt idx="1">
                  <c:v>3.7</c:v>
                </c:pt>
                <c:pt idx="2">
                  <c:v>5.4</c:v>
                </c:pt>
                <c:pt idx="3">
                  <c:v>7.1000000000000005</c:v>
                </c:pt>
                <c:pt idx="4">
                  <c:v>8.8</c:v>
                </c:pt>
                <c:pt idx="5">
                  <c:v>10.5</c:v>
                </c:pt>
                <c:pt idx="6">
                  <c:v>12.2</c:v>
                </c:pt>
                <c:pt idx="7">
                  <c:v>13.899999999999999</c:v>
                </c:pt>
                <c:pt idx="8">
                  <c:v>15.599999999999998</c:v>
                </c:pt>
                <c:pt idx="9">
                  <c:v>17.299999999999997</c:v>
                </c:pt>
                <c:pt idx="10">
                  <c:v>18.999999999999996</c:v>
                </c:pt>
              </c:numCache>
            </c:numRef>
          </c:xVal>
          <c:yVal>
            <c:numRef>
              <c:f>Data2!$F$91:$F$101</c:f>
              <c:numCache>
                <c:ptCount val="11"/>
                <c:pt idx="0">
                  <c:v>1.2398531169110767</c:v>
                </c:pt>
                <c:pt idx="1">
                  <c:v>1.4120503320707467</c:v>
                </c:pt>
                <c:pt idx="2">
                  <c:v>1.5654189627981707</c:v>
                </c:pt>
                <c:pt idx="3">
                  <c:v>1.7050474825866566</c:v>
                </c:pt>
                <c:pt idx="4">
                  <c:v>1.834076690507267</c:v>
                </c:pt>
                <c:pt idx="5">
                  <c:v>1.9546067879369202</c:v>
                </c:pt>
                <c:pt idx="6">
                  <c:v>2.068124291292977</c:v>
                </c:pt>
                <c:pt idx="7">
                  <c:v>2.1757271136388114</c:v>
                </c:pt>
                <c:pt idx="8">
                  <c:v>2.278253467419739</c:v>
                </c:pt>
                <c:pt idx="9">
                  <c:v>2.376360505183728</c:v>
                </c:pt>
                <c:pt idx="10">
                  <c:v>2.4705747589142195</c:v>
                </c:pt>
              </c:numCache>
            </c:numRef>
          </c:yVal>
          <c:smooth val="0"/>
        </c:ser>
        <c:axId val="22934626"/>
        <c:axId val="5085043"/>
      </c:scatterChart>
      <c:valAx>
        <c:axId val="54964440"/>
        <c:scaling>
          <c:orientation val="minMax"/>
          <c:max val="18"/>
        </c:scaling>
        <c:axPos val="b"/>
        <c:title>
          <c:tx>
            <c:rich>
              <a:bodyPr vert="horz" rot="0" anchor="ctr"/>
              <a:lstStyle/>
              <a:p>
                <a:pPr algn="ctr">
                  <a:defRPr/>
                </a:pPr>
                <a:r>
                  <a:rPr lang="en-US" cap="none" sz="900" b="1" i="0" u="none" baseline="0">
                    <a:latin typeface="Arial"/>
                    <a:ea typeface="Arial"/>
                    <a:cs typeface="Arial"/>
                  </a:rPr>
                  <a:t>Clamp Capacitance (nF)</a:t>
                </a:r>
              </a:p>
            </c:rich>
          </c:tx>
          <c:layout/>
          <c:overlay val="0"/>
          <c:spPr>
            <a:noFill/>
            <a:ln>
              <a:noFill/>
            </a:ln>
          </c:spPr>
        </c:title>
        <c:majorGridlines/>
        <c:delete val="0"/>
        <c:numFmt formatCode="0" sourceLinked="0"/>
        <c:majorTickMark val="out"/>
        <c:minorTickMark val="none"/>
        <c:tickLblPos val="nextTo"/>
        <c:crossAx val="24917913"/>
        <c:crosses val="autoZero"/>
        <c:crossBetween val="midCat"/>
        <c:dispUnits/>
        <c:majorUnit val="2"/>
      </c:valAx>
      <c:valAx>
        <c:axId val="24917913"/>
        <c:scaling>
          <c:orientation val="minMax"/>
        </c:scaling>
        <c:axPos val="l"/>
        <c:title>
          <c:tx>
            <c:rich>
              <a:bodyPr vert="horz" rot="-5400000" anchor="ctr"/>
              <a:lstStyle/>
              <a:p>
                <a:pPr algn="ctr">
                  <a:defRPr/>
                </a:pPr>
                <a:r>
                  <a:rPr lang="en-US" cap="none" sz="900" b="1" i="0" u="none" baseline="0">
                    <a:latin typeface="Arial"/>
                    <a:ea typeface="Arial"/>
                    <a:cs typeface="Arial"/>
                  </a:rPr>
                  <a:t>V</a:t>
                </a:r>
                <a:r>
                  <a:rPr lang="en-US" cap="none" sz="900" b="1" i="0" u="none" baseline="-25000">
                    <a:latin typeface="Arial"/>
                    <a:ea typeface="Arial"/>
                    <a:cs typeface="Arial"/>
                  </a:rPr>
                  <a:t>DS(ripple)</a:t>
                </a:r>
                <a:r>
                  <a:rPr lang="en-US" cap="none" sz="900" b="1" i="0" u="none" baseline="0">
                    <a:latin typeface="Arial"/>
                    <a:ea typeface="Arial"/>
                    <a:cs typeface="Arial"/>
                  </a:rPr>
                  <a:t>, Drain Voltage Ripple (V)</a:t>
                </a:r>
              </a:p>
            </c:rich>
          </c:tx>
          <c:layout/>
          <c:overlay val="0"/>
          <c:spPr>
            <a:noFill/>
            <a:ln>
              <a:noFill/>
            </a:ln>
          </c:spPr>
        </c:title>
        <c:majorGridlines/>
        <c:delete val="0"/>
        <c:numFmt formatCode="0" sourceLinked="0"/>
        <c:majorTickMark val="out"/>
        <c:minorTickMark val="none"/>
        <c:tickLblPos val="nextTo"/>
        <c:crossAx val="54964440"/>
        <c:crosses val="autoZero"/>
        <c:crossBetween val="midCat"/>
        <c:dispUnits/>
      </c:valAx>
      <c:valAx>
        <c:axId val="22934626"/>
        <c:scaling>
          <c:orientation val="minMax"/>
        </c:scaling>
        <c:axPos val="b"/>
        <c:delete val="1"/>
        <c:majorTickMark val="in"/>
        <c:minorTickMark val="none"/>
        <c:tickLblPos val="nextTo"/>
        <c:crossAx val="5085043"/>
        <c:crosses val="max"/>
        <c:crossBetween val="midCat"/>
        <c:dispUnits/>
      </c:valAx>
      <c:valAx>
        <c:axId val="5085043"/>
        <c:scaling>
          <c:orientation val="minMax"/>
          <c:max val="4"/>
          <c:min val="0"/>
        </c:scaling>
        <c:axPos val="l"/>
        <c:title>
          <c:tx>
            <c:rich>
              <a:bodyPr vert="horz" rot="-5400000" anchor="ctr"/>
              <a:lstStyle/>
              <a:p>
                <a:pPr algn="ctr">
                  <a:defRPr/>
                </a:pPr>
                <a:r>
                  <a:rPr lang="en-US" cap="none" sz="900" b="1" i="0" u="none" baseline="0">
                    <a:latin typeface="Arial"/>
                    <a:ea typeface="Arial"/>
                    <a:cs typeface="Arial"/>
                  </a:rPr>
                  <a:t>Normalized Peak Flux</a:t>
                </a:r>
              </a:p>
            </c:rich>
          </c:tx>
          <c:layout/>
          <c:overlay val="0"/>
          <c:spPr>
            <a:noFill/>
            <a:ln>
              <a:noFill/>
            </a:ln>
          </c:spPr>
        </c:title>
        <c:delete val="0"/>
        <c:numFmt formatCode="0.0" sourceLinked="0"/>
        <c:majorTickMark val="in"/>
        <c:minorTickMark val="none"/>
        <c:tickLblPos val="nextTo"/>
        <c:crossAx val="22934626"/>
        <c:crosses val="max"/>
        <c:crossBetween val="midCat"/>
        <c:dispUnits/>
        <c:majorUnit val="1"/>
      </c:valAx>
      <c:spPr>
        <a:noFill/>
        <a:ln w="12700">
          <a:solidFill>
            <a:srgbClr val="808080"/>
          </a:solidFill>
        </a:ln>
      </c:spPr>
    </c:plotArea>
    <c:legend>
      <c:legendPos val="r"/>
      <c:layout>
        <c:manualLayout>
          <c:xMode val="edge"/>
          <c:yMode val="edge"/>
          <c:x val="0.37675"/>
          <c:y val="0.06425"/>
          <c:w val="0.462"/>
          <c:h val="0.0992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Oscillator Duty Cycle vs R</a:t>
            </a:r>
            <a:r>
              <a:rPr lang="en-US" cap="none" sz="800" b="1" i="0" u="none" baseline="-25000">
                <a:latin typeface="Arial"/>
                <a:ea typeface="Arial"/>
                <a:cs typeface="Arial"/>
              </a:rPr>
              <a:t>T</a:t>
            </a:r>
          </a:p>
        </c:rich>
      </c:tx>
      <c:layout/>
      <c:spPr>
        <a:noFill/>
        <a:ln>
          <a:noFill/>
        </a:ln>
      </c:spPr>
    </c:title>
    <c:plotArea>
      <c:layout>
        <c:manualLayout>
          <c:xMode val="edge"/>
          <c:yMode val="edge"/>
          <c:x val="0.0875"/>
          <c:y val="0.07625"/>
          <c:w val="0.8685"/>
          <c:h val="0.83725"/>
        </c:manualLayout>
      </c:layout>
      <c:scatterChart>
        <c:scatterStyle val="smoothMarker"/>
        <c:varyColors val="0"/>
        <c:ser>
          <c:idx val="0"/>
          <c:order val="0"/>
          <c:tx>
            <c:strRef>
              <c:f>Step7!$M$26</c:f>
              <c:strCache>
                <c:ptCount val="1"/>
                <c:pt idx="0">
                  <c:v>270</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Data3!$A$29:$A$44</c:f>
              <c:numCache>
                <c:ptCount val="16"/>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numCache>
            </c:numRef>
          </c:xVal>
          <c:yVal>
            <c:numRef>
              <c:f>Data3!$I$29:$I$44</c:f>
              <c:numCache>
                <c:ptCount val="16"/>
                <c:pt idx="0">
                  <c:v>50</c:v>
                </c:pt>
                <c:pt idx="1">
                  <c:v>58.49625007211563</c:v>
                </c:pt>
                <c:pt idx="2">
                  <c:v>64.50199214257478</c:v>
                </c:pt>
                <c:pt idx="3">
                  <c:v>68.98167861220269</c:v>
                </c:pt>
                <c:pt idx="4">
                  <c:v>72.4541939040064</c:v>
                </c:pt>
                <c:pt idx="5">
                  <c:v>75.22592587465667</c:v>
                </c:pt>
                <c:pt idx="6">
                  <c:v>77.49002322129905</c:v>
                </c:pt>
                <c:pt idx="7">
                  <c:v>79.37446542303995</c:v>
                </c:pt>
                <c:pt idx="8">
                  <c:v>80.96747541165007</c:v>
                </c:pt>
                <c:pt idx="9">
                  <c:v>82.33187174970367</c:v>
                </c:pt>
                <c:pt idx="10">
                  <c:v>83.51361088911368</c:v>
                </c:pt>
                <c:pt idx="11">
                  <c:v>84.54709507188085</c:v>
                </c:pt>
                <c:pt idx="12">
                  <c:v>85.45859181337254</c:v>
                </c:pt>
                <c:pt idx="13">
                  <c:v>86.26850578980786</c:v>
                </c:pt>
                <c:pt idx="14">
                  <c:v>86.99292905976661</c:v>
                </c:pt>
                <c:pt idx="15">
                  <c:v>87.64472381359818</c:v>
                </c:pt>
              </c:numCache>
            </c:numRef>
          </c:yVal>
          <c:smooth val="1"/>
        </c:ser>
        <c:axId val="45765388"/>
        <c:axId val="9235309"/>
      </c:scatterChart>
      <c:valAx>
        <c:axId val="45765388"/>
        <c:scaling>
          <c:orientation val="minMax"/>
          <c:max val="26"/>
          <c:min val="8"/>
        </c:scaling>
        <c:axPos val="b"/>
        <c:title>
          <c:tx>
            <c:rich>
              <a:bodyPr vert="horz" rot="0" anchor="ctr"/>
              <a:lstStyle/>
              <a:p>
                <a:pPr algn="ctr">
                  <a:defRPr/>
                </a:pPr>
                <a:r>
                  <a:rPr lang="en-US" cap="none" sz="800" b="0" i="0" u="none" baseline="0">
                    <a:latin typeface="Arial"/>
                    <a:ea typeface="Arial"/>
                    <a:cs typeface="Arial"/>
                  </a:rPr>
                  <a:t>R</a:t>
                </a:r>
                <a:r>
                  <a:rPr lang="en-US" cap="none" sz="800" b="0" i="0" u="none" baseline="-25000">
                    <a:latin typeface="Arial"/>
                    <a:ea typeface="Arial"/>
                    <a:cs typeface="Arial"/>
                  </a:rPr>
                  <a:t>T</a:t>
                </a:r>
                <a:r>
                  <a:rPr lang="en-US" cap="none" sz="800" b="0" i="0" u="none" baseline="0">
                    <a:latin typeface="Arial"/>
                    <a:ea typeface="Arial"/>
                    <a:cs typeface="Arial"/>
                  </a:rPr>
                  <a:t>, k</a:t>
                </a:r>
                <a:r>
                  <a:rPr lang="en-US" cap="none" sz="800" b="0" i="0" u="none" baseline="0"/>
                  <a:t>W</a:t>
                </a:r>
              </a:p>
            </c:rich>
          </c:tx>
          <c:layout/>
          <c:overlay val="0"/>
          <c:spPr>
            <a:noFill/>
            <a:ln>
              <a:noFill/>
            </a:ln>
          </c:spPr>
        </c:title>
        <c:majorGridlines/>
        <c:delete val="0"/>
        <c:numFmt formatCode="General" sourceLinked="1"/>
        <c:majorTickMark val="out"/>
        <c:minorTickMark val="none"/>
        <c:tickLblPos val="nextTo"/>
        <c:crossAx val="9235309"/>
        <c:crosses val="autoZero"/>
        <c:crossBetween val="midCat"/>
        <c:dispUnits/>
        <c:majorUnit val="1"/>
      </c:valAx>
      <c:valAx>
        <c:axId val="9235309"/>
        <c:scaling>
          <c:orientation val="minMax"/>
          <c:max val="100"/>
          <c:min val="40"/>
        </c:scaling>
        <c:axPos val="l"/>
        <c:title>
          <c:tx>
            <c:rich>
              <a:bodyPr vert="horz" rot="-5400000" anchor="ctr"/>
              <a:lstStyle/>
              <a:p>
                <a:pPr algn="ctr">
                  <a:defRPr/>
                </a:pPr>
                <a:r>
                  <a:rPr lang="en-US"/>
                  <a:t>Duty Cycle (%)</a:t>
                </a:r>
              </a:p>
            </c:rich>
          </c:tx>
          <c:layout/>
          <c:overlay val="0"/>
          <c:spPr>
            <a:noFill/>
            <a:ln>
              <a:noFill/>
            </a:ln>
          </c:spPr>
        </c:title>
        <c:majorGridlines/>
        <c:delete val="0"/>
        <c:numFmt formatCode="0" sourceLinked="0"/>
        <c:majorTickMark val="out"/>
        <c:minorTickMark val="none"/>
        <c:tickLblPos val="nextTo"/>
        <c:crossAx val="45765388"/>
        <c:crosses val="autoZero"/>
        <c:crossBetween val="midCat"/>
        <c:dispUnits/>
        <c:majorUnit val="5"/>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4.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emf" /><Relationship Id="rId4" Type="http://schemas.openxmlformats.org/officeDocument/2006/relationships/image" Target="../media/image31.emf" /><Relationship Id="rId5" Type="http://schemas.openxmlformats.org/officeDocument/2006/relationships/image" Target="../media/image26.emf" /><Relationship Id="rId6" Type="http://schemas.openxmlformats.org/officeDocument/2006/relationships/image" Target="../media/image33.emf" /><Relationship Id="rId7" Type="http://schemas.openxmlformats.org/officeDocument/2006/relationships/image" Target="../media/image20.emf" /><Relationship Id="rId8" Type="http://schemas.openxmlformats.org/officeDocument/2006/relationships/image" Target="../media/image6.emf" /><Relationship Id="rId9" Type="http://schemas.openxmlformats.org/officeDocument/2006/relationships/image" Target="../media/image18.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22.emf" /><Relationship Id="rId3" Type="http://schemas.openxmlformats.org/officeDocument/2006/relationships/image" Target="../media/image28.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7.emf" /><Relationship Id="rId4" Type="http://schemas.openxmlformats.org/officeDocument/2006/relationships/image" Target="../media/image16.emf" /><Relationship Id="rId5"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7.emf"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1.emf" /><Relationship Id="rId3" Type="http://schemas.openxmlformats.org/officeDocument/2006/relationships/image" Target="../media/image32.emf" /><Relationship Id="rId4"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36.emf" /><Relationship Id="rId4" Type="http://schemas.openxmlformats.org/officeDocument/2006/relationships/image" Target="../media/image14.emf" /><Relationship Id="rId5" Type="http://schemas.openxmlformats.org/officeDocument/2006/relationships/image" Target="../media/image8.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3.emf" /><Relationship Id="rId3" Type="http://schemas.openxmlformats.org/officeDocument/2006/relationships/image" Target="../media/image9.emf" /><Relationship Id="rId4" Type="http://schemas.openxmlformats.org/officeDocument/2006/relationships/image" Target="../media/image30.emf" /></Relationships>
</file>

<file path=xl/drawings/_rels/drawing7.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5.emf" /><Relationship Id="rId3" Type="http://schemas.openxmlformats.org/officeDocument/2006/relationships/image" Target="../media/image7.emf" /><Relationship Id="rId4" Type="http://schemas.openxmlformats.org/officeDocument/2006/relationships/image" Target="../media/image5.emf" /><Relationship Id="rId5"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15.emf" /><Relationship Id="rId3" Type="http://schemas.openxmlformats.org/officeDocument/2006/relationships/image" Target="../media/image23.emf" /><Relationship Id="rId4" Type="http://schemas.openxmlformats.org/officeDocument/2006/relationships/chart" Target="/xl/charts/chart9.xml" /><Relationship Id="rId5"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7.emf" /><Relationship Id="rId3" Type="http://schemas.openxmlformats.org/officeDocument/2006/relationships/image" Target="../media/image21.emf" /><Relationship Id="rId4" Type="http://schemas.openxmlformats.org/officeDocument/2006/relationships/image" Target="../media/image3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31</xdr:row>
      <xdr:rowOff>133350</xdr:rowOff>
    </xdr:from>
    <xdr:to>
      <xdr:col>8</xdr:col>
      <xdr:colOff>9525</xdr:colOff>
      <xdr:row>34</xdr:row>
      <xdr:rowOff>28575</xdr:rowOff>
    </xdr:to>
    <xdr:pic>
      <xdr:nvPicPr>
        <xdr:cNvPr id="1" name="CommandButton1"/>
        <xdr:cNvPicPr preferRelativeResize="1">
          <a:picLocks noChangeAspect="1"/>
        </xdr:cNvPicPr>
      </xdr:nvPicPr>
      <xdr:blipFill>
        <a:blip r:embed="rId1"/>
        <a:stretch>
          <a:fillRect/>
        </a:stretch>
      </xdr:blipFill>
      <xdr:spPr>
        <a:xfrm>
          <a:off x="3619500" y="4800600"/>
          <a:ext cx="126682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10</xdr:row>
      <xdr:rowOff>133350</xdr:rowOff>
    </xdr:from>
    <xdr:to>
      <xdr:col>14</xdr:col>
      <xdr:colOff>57150</xdr:colOff>
      <xdr:row>27</xdr:row>
      <xdr:rowOff>0</xdr:rowOff>
    </xdr:to>
    <xdr:graphicFrame>
      <xdr:nvGraphicFramePr>
        <xdr:cNvPr id="1" name="Freq_Mag"/>
        <xdr:cNvGraphicFramePr/>
      </xdr:nvGraphicFramePr>
      <xdr:xfrm>
        <a:off x="1866900" y="1962150"/>
        <a:ext cx="3457575" cy="2657475"/>
      </xdr:xfrm>
      <a:graphic>
        <a:graphicData uri="http://schemas.openxmlformats.org/drawingml/2006/chart">
          <c:chart xmlns:c="http://schemas.openxmlformats.org/drawingml/2006/chart" r:id="rId1"/>
        </a:graphicData>
      </a:graphic>
    </xdr:graphicFrame>
    <xdr:clientData fLocksWithSheet="0"/>
  </xdr:twoCellAnchor>
  <xdr:twoCellAnchor>
    <xdr:from>
      <xdr:col>14</xdr:col>
      <xdr:colOff>57150</xdr:colOff>
      <xdr:row>10</xdr:row>
      <xdr:rowOff>133350</xdr:rowOff>
    </xdr:from>
    <xdr:to>
      <xdr:col>20</xdr:col>
      <xdr:colOff>561975</xdr:colOff>
      <xdr:row>27</xdr:row>
      <xdr:rowOff>0</xdr:rowOff>
    </xdr:to>
    <xdr:graphicFrame>
      <xdr:nvGraphicFramePr>
        <xdr:cNvPr id="2" name="Freq_Angle"/>
        <xdr:cNvGraphicFramePr/>
      </xdr:nvGraphicFramePr>
      <xdr:xfrm>
        <a:off x="5324475" y="1962150"/>
        <a:ext cx="3467100" cy="2657475"/>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0</xdr:col>
      <xdr:colOff>247650</xdr:colOff>
      <xdr:row>17</xdr:row>
      <xdr:rowOff>142875</xdr:rowOff>
    </xdr:from>
    <xdr:to>
      <xdr:col>2</xdr:col>
      <xdr:colOff>247650</xdr:colOff>
      <xdr:row>19</xdr:row>
      <xdr:rowOff>66675</xdr:rowOff>
    </xdr:to>
    <xdr:pic>
      <xdr:nvPicPr>
        <xdr:cNvPr id="3" name="CheckBox1"/>
        <xdr:cNvPicPr preferRelativeResize="1">
          <a:picLocks noChangeAspect="1"/>
        </xdr:cNvPicPr>
      </xdr:nvPicPr>
      <xdr:blipFill>
        <a:blip r:embed="rId3"/>
        <a:stretch>
          <a:fillRect/>
        </a:stretch>
      </xdr:blipFill>
      <xdr:spPr>
        <a:xfrm>
          <a:off x="247650" y="3105150"/>
          <a:ext cx="1533525" cy="247650"/>
        </a:xfrm>
        <a:prstGeom prst="rect">
          <a:avLst/>
        </a:prstGeom>
        <a:noFill/>
        <a:ln w="9525" cmpd="sng">
          <a:noFill/>
        </a:ln>
      </xdr:spPr>
    </xdr:pic>
    <xdr:clientData/>
  </xdr:twoCellAnchor>
  <xdr:twoCellAnchor editAs="oneCell">
    <xdr:from>
      <xdr:col>0</xdr:col>
      <xdr:colOff>257175</xdr:colOff>
      <xdr:row>16</xdr:row>
      <xdr:rowOff>19050</xdr:rowOff>
    </xdr:from>
    <xdr:to>
      <xdr:col>1</xdr:col>
      <xdr:colOff>342900</xdr:colOff>
      <xdr:row>17</xdr:row>
      <xdr:rowOff>104775</xdr:rowOff>
    </xdr:to>
    <xdr:pic>
      <xdr:nvPicPr>
        <xdr:cNvPr id="4" name="CheckBox2"/>
        <xdr:cNvPicPr preferRelativeResize="1">
          <a:picLocks noChangeAspect="1"/>
        </xdr:cNvPicPr>
      </xdr:nvPicPr>
      <xdr:blipFill>
        <a:blip r:embed="rId4"/>
        <a:stretch>
          <a:fillRect/>
        </a:stretch>
      </xdr:blipFill>
      <xdr:spPr>
        <a:xfrm>
          <a:off x="257175" y="2819400"/>
          <a:ext cx="1038225" cy="247650"/>
        </a:xfrm>
        <a:prstGeom prst="rect">
          <a:avLst/>
        </a:prstGeom>
        <a:noFill/>
        <a:ln w="9525" cmpd="sng">
          <a:noFill/>
        </a:ln>
      </xdr:spPr>
    </xdr:pic>
    <xdr:clientData/>
  </xdr:twoCellAnchor>
  <xdr:twoCellAnchor editAs="oneCell">
    <xdr:from>
      <xdr:col>0</xdr:col>
      <xdr:colOff>247650</xdr:colOff>
      <xdr:row>20</xdr:row>
      <xdr:rowOff>9525</xdr:rowOff>
    </xdr:from>
    <xdr:to>
      <xdr:col>0</xdr:col>
      <xdr:colOff>771525</xdr:colOff>
      <xdr:row>21</xdr:row>
      <xdr:rowOff>95250</xdr:rowOff>
    </xdr:to>
    <xdr:pic>
      <xdr:nvPicPr>
        <xdr:cNvPr id="5" name="CheckBox3"/>
        <xdr:cNvPicPr preferRelativeResize="1">
          <a:picLocks noChangeAspect="1"/>
        </xdr:cNvPicPr>
      </xdr:nvPicPr>
      <xdr:blipFill>
        <a:blip r:embed="rId5"/>
        <a:stretch>
          <a:fillRect/>
        </a:stretch>
      </xdr:blipFill>
      <xdr:spPr>
        <a:xfrm>
          <a:off x="247650" y="3457575"/>
          <a:ext cx="523875" cy="247650"/>
        </a:xfrm>
        <a:prstGeom prst="rect">
          <a:avLst/>
        </a:prstGeom>
        <a:noFill/>
        <a:ln w="9525" cmpd="sng">
          <a:noFill/>
        </a:ln>
      </xdr:spPr>
    </xdr:pic>
    <xdr:clientData/>
  </xdr:twoCellAnchor>
  <xdr:twoCellAnchor editAs="oneCell">
    <xdr:from>
      <xdr:col>4</xdr:col>
      <xdr:colOff>323850</xdr:colOff>
      <xdr:row>28</xdr:row>
      <xdr:rowOff>19050</xdr:rowOff>
    </xdr:from>
    <xdr:to>
      <xdr:col>8</xdr:col>
      <xdr:colOff>133350</xdr:colOff>
      <xdr:row>30</xdr:row>
      <xdr:rowOff>76200</xdr:rowOff>
    </xdr:to>
    <xdr:pic>
      <xdr:nvPicPr>
        <xdr:cNvPr id="6" name="CommandButton1"/>
        <xdr:cNvPicPr preferRelativeResize="1">
          <a:picLocks noChangeAspect="1"/>
        </xdr:cNvPicPr>
      </xdr:nvPicPr>
      <xdr:blipFill>
        <a:blip r:embed="rId6"/>
        <a:stretch>
          <a:fillRect/>
        </a:stretch>
      </xdr:blipFill>
      <xdr:spPr>
        <a:xfrm>
          <a:off x="2286000" y="4800600"/>
          <a:ext cx="1266825" cy="381000"/>
        </a:xfrm>
        <a:prstGeom prst="rect">
          <a:avLst/>
        </a:prstGeom>
        <a:noFill/>
        <a:ln w="9525" cmpd="sng">
          <a:noFill/>
        </a:ln>
      </xdr:spPr>
    </xdr:pic>
    <xdr:clientData/>
  </xdr:twoCellAnchor>
  <xdr:twoCellAnchor editAs="oneCell">
    <xdr:from>
      <xdr:col>8</xdr:col>
      <xdr:colOff>200025</xdr:colOff>
      <xdr:row>28</xdr:row>
      <xdr:rowOff>19050</xdr:rowOff>
    </xdr:from>
    <xdr:to>
      <xdr:col>12</xdr:col>
      <xdr:colOff>123825</xdr:colOff>
      <xdr:row>30</xdr:row>
      <xdr:rowOff>76200</xdr:rowOff>
    </xdr:to>
    <xdr:pic>
      <xdr:nvPicPr>
        <xdr:cNvPr id="7" name="CommandButton2"/>
        <xdr:cNvPicPr preferRelativeResize="1">
          <a:picLocks noChangeAspect="1"/>
        </xdr:cNvPicPr>
      </xdr:nvPicPr>
      <xdr:blipFill>
        <a:blip r:embed="rId7"/>
        <a:stretch>
          <a:fillRect/>
        </a:stretch>
      </xdr:blipFill>
      <xdr:spPr>
        <a:xfrm>
          <a:off x="3619500" y="4800600"/>
          <a:ext cx="1266825" cy="381000"/>
        </a:xfrm>
        <a:prstGeom prst="rect">
          <a:avLst/>
        </a:prstGeom>
        <a:noFill/>
        <a:ln w="9525" cmpd="sng">
          <a:noFill/>
        </a:ln>
      </xdr:spPr>
    </xdr:pic>
    <xdr:clientData/>
  </xdr:twoCellAnchor>
  <xdr:twoCellAnchor editAs="oneCell">
    <xdr:from>
      <xdr:col>13</xdr:col>
      <xdr:colOff>19050</xdr:colOff>
      <xdr:row>28</xdr:row>
      <xdr:rowOff>19050</xdr:rowOff>
    </xdr:from>
    <xdr:to>
      <xdr:col>16</xdr:col>
      <xdr:colOff>171450</xdr:colOff>
      <xdr:row>30</xdr:row>
      <xdr:rowOff>76200</xdr:rowOff>
    </xdr:to>
    <xdr:pic>
      <xdr:nvPicPr>
        <xdr:cNvPr id="8" name="CommandButton3"/>
        <xdr:cNvPicPr preferRelativeResize="1">
          <a:picLocks noChangeAspect="1"/>
        </xdr:cNvPicPr>
      </xdr:nvPicPr>
      <xdr:blipFill>
        <a:blip r:embed="rId8"/>
        <a:stretch>
          <a:fillRect/>
        </a:stretch>
      </xdr:blipFill>
      <xdr:spPr>
        <a:xfrm>
          <a:off x="4962525" y="4800600"/>
          <a:ext cx="1266825" cy="381000"/>
        </a:xfrm>
        <a:prstGeom prst="rect">
          <a:avLst/>
        </a:prstGeom>
        <a:noFill/>
        <a:ln w="9525" cmpd="sng">
          <a:noFill/>
        </a:ln>
      </xdr:spPr>
    </xdr:pic>
    <xdr:clientData/>
  </xdr:twoCellAnchor>
  <xdr:twoCellAnchor editAs="oneCell">
    <xdr:from>
      <xdr:col>11</xdr:col>
      <xdr:colOff>19050</xdr:colOff>
      <xdr:row>3</xdr:row>
      <xdr:rowOff>95250</xdr:rowOff>
    </xdr:from>
    <xdr:to>
      <xdr:col>16</xdr:col>
      <xdr:colOff>1019175</xdr:colOff>
      <xdr:row>9</xdr:row>
      <xdr:rowOff>28575</xdr:rowOff>
    </xdr:to>
    <xdr:pic>
      <xdr:nvPicPr>
        <xdr:cNvPr id="9" name="Picture 25"/>
        <xdr:cNvPicPr preferRelativeResize="1">
          <a:picLocks noChangeAspect="1"/>
        </xdr:cNvPicPr>
      </xdr:nvPicPr>
      <xdr:blipFill>
        <a:blip r:embed="rId9"/>
        <a:stretch>
          <a:fillRect/>
        </a:stretch>
      </xdr:blipFill>
      <xdr:spPr>
        <a:xfrm>
          <a:off x="4600575" y="561975"/>
          <a:ext cx="2476500"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1562100</xdr:colOff>
      <xdr:row>14</xdr:row>
      <xdr:rowOff>9525</xdr:rowOff>
    </xdr:from>
    <xdr:to>
      <xdr:col>5</xdr:col>
      <xdr:colOff>2628900</xdr:colOff>
      <xdr:row>17</xdr:row>
      <xdr:rowOff>57150</xdr:rowOff>
    </xdr:to>
    <xdr:pic>
      <xdr:nvPicPr>
        <xdr:cNvPr id="1" name="CommandButton1"/>
        <xdr:cNvPicPr preferRelativeResize="1">
          <a:picLocks noChangeAspect="1"/>
        </xdr:cNvPicPr>
      </xdr:nvPicPr>
      <xdr:blipFill>
        <a:blip r:embed="rId1"/>
        <a:stretch>
          <a:fillRect/>
        </a:stretch>
      </xdr:blipFill>
      <xdr:spPr>
        <a:xfrm>
          <a:off x="7429500" y="2343150"/>
          <a:ext cx="1066800" cy="533400"/>
        </a:xfrm>
        <a:prstGeom prst="rect">
          <a:avLst/>
        </a:prstGeom>
        <a:noFill/>
        <a:ln w="9525" cmpd="sng">
          <a:noFill/>
        </a:ln>
      </xdr:spPr>
    </xdr:pic>
    <xdr:clientData/>
  </xdr:twoCellAnchor>
  <xdr:twoCellAnchor editAs="oneCell">
    <xdr:from>
      <xdr:col>5</xdr:col>
      <xdr:colOff>1562100</xdr:colOff>
      <xdr:row>19</xdr:row>
      <xdr:rowOff>19050</xdr:rowOff>
    </xdr:from>
    <xdr:to>
      <xdr:col>5</xdr:col>
      <xdr:colOff>2628900</xdr:colOff>
      <xdr:row>22</xdr:row>
      <xdr:rowOff>66675</xdr:rowOff>
    </xdr:to>
    <xdr:pic>
      <xdr:nvPicPr>
        <xdr:cNvPr id="2" name="CommandButton2"/>
        <xdr:cNvPicPr preferRelativeResize="1">
          <a:picLocks noChangeAspect="1"/>
        </xdr:cNvPicPr>
      </xdr:nvPicPr>
      <xdr:blipFill>
        <a:blip r:embed="rId2"/>
        <a:stretch>
          <a:fillRect/>
        </a:stretch>
      </xdr:blipFill>
      <xdr:spPr>
        <a:xfrm>
          <a:off x="7429500" y="3162300"/>
          <a:ext cx="1066800" cy="533400"/>
        </a:xfrm>
        <a:prstGeom prst="rect">
          <a:avLst/>
        </a:prstGeom>
        <a:noFill/>
        <a:ln w="9525" cmpd="sng">
          <a:noFill/>
        </a:ln>
      </xdr:spPr>
    </xdr:pic>
    <xdr:clientData/>
  </xdr:twoCellAnchor>
  <xdr:twoCellAnchor editAs="oneCell">
    <xdr:from>
      <xdr:col>0</xdr:col>
      <xdr:colOff>66675</xdr:colOff>
      <xdr:row>1</xdr:row>
      <xdr:rowOff>0</xdr:rowOff>
    </xdr:from>
    <xdr:to>
      <xdr:col>5</xdr:col>
      <xdr:colOff>1514475</xdr:colOff>
      <xdr:row>33</xdr:row>
      <xdr:rowOff>76200</xdr:rowOff>
    </xdr:to>
    <xdr:pic>
      <xdr:nvPicPr>
        <xdr:cNvPr id="3" name="Picture 19"/>
        <xdr:cNvPicPr preferRelativeResize="1">
          <a:picLocks noChangeAspect="1"/>
        </xdr:cNvPicPr>
      </xdr:nvPicPr>
      <xdr:blipFill>
        <a:blip r:embed="rId3"/>
        <a:stretch>
          <a:fillRect/>
        </a:stretch>
      </xdr:blipFill>
      <xdr:spPr>
        <a:xfrm>
          <a:off x="66675" y="228600"/>
          <a:ext cx="7315200" cy="5257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5</xdr:row>
      <xdr:rowOff>152400</xdr:rowOff>
    </xdr:from>
    <xdr:to>
      <xdr:col>9</xdr:col>
      <xdr:colOff>123825</xdr:colOff>
      <xdr:row>22</xdr:row>
      <xdr:rowOff>28575</xdr:rowOff>
    </xdr:to>
    <xdr:graphicFrame>
      <xdr:nvGraphicFramePr>
        <xdr:cNvPr id="1" name="Chart 2"/>
        <xdr:cNvGraphicFramePr/>
      </xdr:nvGraphicFramePr>
      <xdr:xfrm>
        <a:off x="2314575" y="1028700"/>
        <a:ext cx="3352800" cy="29337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123825</xdr:colOff>
      <xdr:row>5</xdr:row>
      <xdr:rowOff>152400</xdr:rowOff>
    </xdr:from>
    <xdr:to>
      <xdr:col>13</xdr:col>
      <xdr:colOff>990600</xdr:colOff>
      <xdr:row>22</xdr:row>
      <xdr:rowOff>28575</xdr:rowOff>
    </xdr:to>
    <xdr:graphicFrame>
      <xdr:nvGraphicFramePr>
        <xdr:cNvPr id="2" name="Chart 7"/>
        <xdr:cNvGraphicFramePr/>
      </xdr:nvGraphicFramePr>
      <xdr:xfrm>
        <a:off x="5667375" y="1028700"/>
        <a:ext cx="3305175" cy="2933700"/>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2</xdr:col>
      <xdr:colOff>276225</xdr:colOff>
      <xdr:row>27</xdr:row>
      <xdr:rowOff>19050</xdr:rowOff>
    </xdr:from>
    <xdr:to>
      <xdr:col>5</xdr:col>
      <xdr:colOff>447675</xdr:colOff>
      <xdr:row>29</xdr:row>
      <xdr:rowOff>76200</xdr:rowOff>
    </xdr:to>
    <xdr:pic>
      <xdr:nvPicPr>
        <xdr:cNvPr id="3" name="CommandButton1"/>
        <xdr:cNvPicPr preferRelativeResize="1">
          <a:picLocks noChangeAspect="1"/>
        </xdr:cNvPicPr>
      </xdr:nvPicPr>
      <xdr:blipFill>
        <a:blip r:embed="rId3"/>
        <a:stretch>
          <a:fillRect/>
        </a:stretch>
      </xdr:blipFill>
      <xdr:spPr>
        <a:xfrm>
          <a:off x="2286000" y="4800600"/>
          <a:ext cx="1266825" cy="381000"/>
        </a:xfrm>
        <a:prstGeom prst="rect">
          <a:avLst/>
        </a:prstGeom>
        <a:noFill/>
        <a:ln w="9525" cmpd="sng">
          <a:noFill/>
        </a:ln>
      </xdr:spPr>
    </xdr:pic>
    <xdr:clientData/>
  </xdr:twoCellAnchor>
  <xdr:twoCellAnchor editAs="oneCell">
    <xdr:from>
      <xdr:col>5</xdr:col>
      <xdr:colOff>514350</xdr:colOff>
      <xdr:row>27</xdr:row>
      <xdr:rowOff>19050</xdr:rowOff>
    </xdr:from>
    <xdr:to>
      <xdr:col>7</xdr:col>
      <xdr:colOff>561975</xdr:colOff>
      <xdr:row>29</xdr:row>
      <xdr:rowOff>76200</xdr:rowOff>
    </xdr:to>
    <xdr:pic>
      <xdr:nvPicPr>
        <xdr:cNvPr id="4" name="CommandButton2"/>
        <xdr:cNvPicPr preferRelativeResize="1">
          <a:picLocks noChangeAspect="1"/>
        </xdr:cNvPicPr>
      </xdr:nvPicPr>
      <xdr:blipFill>
        <a:blip r:embed="rId4"/>
        <a:stretch>
          <a:fillRect/>
        </a:stretch>
      </xdr:blipFill>
      <xdr:spPr>
        <a:xfrm>
          <a:off x="3619500" y="4800600"/>
          <a:ext cx="1266825" cy="381000"/>
        </a:xfrm>
        <a:prstGeom prst="rect">
          <a:avLst/>
        </a:prstGeom>
        <a:noFill/>
        <a:ln w="9525" cmpd="sng">
          <a:noFill/>
        </a:ln>
      </xdr:spPr>
    </xdr:pic>
    <xdr:clientData/>
  </xdr:twoCellAnchor>
  <xdr:twoCellAnchor editAs="oneCell">
    <xdr:from>
      <xdr:col>8</xdr:col>
      <xdr:colOff>19050</xdr:colOff>
      <xdr:row>27</xdr:row>
      <xdr:rowOff>19050</xdr:rowOff>
    </xdr:from>
    <xdr:to>
      <xdr:col>10</xdr:col>
      <xdr:colOff>66675</xdr:colOff>
      <xdr:row>29</xdr:row>
      <xdr:rowOff>76200</xdr:rowOff>
    </xdr:to>
    <xdr:pic>
      <xdr:nvPicPr>
        <xdr:cNvPr id="5" name="CommandButton3"/>
        <xdr:cNvPicPr preferRelativeResize="1">
          <a:picLocks noChangeAspect="1"/>
        </xdr:cNvPicPr>
      </xdr:nvPicPr>
      <xdr:blipFill>
        <a:blip r:embed="rId5"/>
        <a:stretch>
          <a:fillRect/>
        </a:stretch>
      </xdr:blipFill>
      <xdr:spPr>
        <a:xfrm>
          <a:off x="4953000" y="4800600"/>
          <a:ext cx="12668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95250</xdr:colOff>
      <xdr:row>28</xdr:row>
      <xdr:rowOff>66675</xdr:rowOff>
    </xdr:from>
    <xdr:to>
      <xdr:col>7</xdr:col>
      <xdr:colOff>133350</xdr:colOff>
      <xdr:row>30</xdr:row>
      <xdr:rowOff>123825</xdr:rowOff>
    </xdr:to>
    <xdr:pic>
      <xdr:nvPicPr>
        <xdr:cNvPr id="1" name="CommandButton2"/>
        <xdr:cNvPicPr preferRelativeResize="1">
          <a:picLocks noChangeAspect="1"/>
        </xdr:cNvPicPr>
      </xdr:nvPicPr>
      <xdr:blipFill>
        <a:blip r:embed="rId1"/>
        <a:stretch>
          <a:fillRect/>
        </a:stretch>
      </xdr:blipFill>
      <xdr:spPr>
        <a:xfrm>
          <a:off x="3619500" y="4800600"/>
          <a:ext cx="1266825" cy="381000"/>
        </a:xfrm>
        <a:prstGeom prst="rect">
          <a:avLst/>
        </a:prstGeom>
        <a:noFill/>
        <a:ln w="9525" cmpd="sng">
          <a:noFill/>
        </a:ln>
      </xdr:spPr>
    </xdr:pic>
    <xdr:clientData/>
  </xdr:twoCellAnchor>
  <xdr:twoCellAnchor editAs="oneCell">
    <xdr:from>
      <xdr:col>7</xdr:col>
      <xdr:colOff>200025</xdr:colOff>
      <xdr:row>28</xdr:row>
      <xdr:rowOff>66675</xdr:rowOff>
    </xdr:from>
    <xdr:to>
      <xdr:col>8</xdr:col>
      <xdr:colOff>857250</xdr:colOff>
      <xdr:row>30</xdr:row>
      <xdr:rowOff>123825</xdr:rowOff>
    </xdr:to>
    <xdr:pic>
      <xdr:nvPicPr>
        <xdr:cNvPr id="2" name="CommandButton3"/>
        <xdr:cNvPicPr preferRelativeResize="1">
          <a:picLocks noChangeAspect="1"/>
        </xdr:cNvPicPr>
      </xdr:nvPicPr>
      <xdr:blipFill>
        <a:blip r:embed="rId2"/>
        <a:stretch>
          <a:fillRect/>
        </a:stretch>
      </xdr:blipFill>
      <xdr:spPr>
        <a:xfrm>
          <a:off x="4953000" y="4800600"/>
          <a:ext cx="1266825" cy="381000"/>
        </a:xfrm>
        <a:prstGeom prst="rect">
          <a:avLst/>
        </a:prstGeom>
        <a:noFill/>
        <a:ln w="9525" cmpd="sng">
          <a:noFill/>
        </a:ln>
      </xdr:spPr>
    </xdr:pic>
    <xdr:clientData/>
  </xdr:twoCellAnchor>
  <xdr:twoCellAnchor>
    <xdr:from>
      <xdr:col>0</xdr:col>
      <xdr:colOff>19050</xdr:colOff>
      <xdr:row>11</xdr:row>
      <xdr:rowOff>85725</xdr:rowOff>
    </xdr:from>
    <xdr:to>
      <xdr:col>6</xdr:col>
      <xdr:colOff>238125</xdr:colOff>
      <xdr:row>26</xdr:row>
      <xdr:rowOff>47625</xdr:rowOff>
    </xdr:to>
    <xdr:graphicFrame>
      <xdr:nvGraphicFramePr>
        <xdr:cNvPr id="3" name="Chart 31"/>
        <xdr:cNvGraphicFramePr/>
      </xdr:nvGraphicFramePr>
      <xdr:xfrm>
        <a:off x="19050" y="2085975"/>
        <a:ext cx="4362450" cy="239077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238125</xdr:colOff>
      <xdr:row>11</xdr:row>
      <xdr:rowOff>85725</xdr:rowOff>
    </xdr:from>
    <xdr:to>
      <xdr:col>12</xdr:col>
      <xdr:colOff>85725</xdr:colOff>
      <xdr:row>26</xdr:row>
      <xdr:rowOff>47625</xdr:rowOff>
    </xdr:to>
    <xdr:graphicFrame>
      <xdr:nvGraphicFramePr>
        <xdr:cNvPr id="4" name="Chart 32"/>
        <xdr:cNvGraphicFramePr/>
      </xdr:nvGraphicFramePr>
      <xdr:xfrm>
        <a:off x="4381500" y="2085975"/>
        <a:ext cx="4343400" cy="2390775"/>
      </xdr:xfrm>
      <a:graphic>
        <a:graphicData uri="http://schemas.openxmlformats.org/drawingml/2006/chart">
          <c:chart xmlns:c="http://schemas.openxmlformats.org/drawingml/2006/chart" r:id="rId4"/>
        </a:graphicData>
      </a:graphic>
    </xdr:graphicFrame>
    <xdr:clientData fLocksWithSheet="0"/>
  </xdr:twoCellAnchor>
  <xdr:twoCellAnchor editAs="oneCell">
    <xdr:from>
      <xdr:col>2</xdr:col>
      <xdr:colOff>257175</xdr:colOff>
      <xdr:row>28</xdr:row>
      <xdr:rowOff>66675</xdr:rowOff>
    </xdr:from>
    <xdr:to>
      <xdr:col>5</xdr:col>
      <xdr:colOff>28575</xdr:colOff>
      <xdr:row>30</xdr:row>
      <xdr:rowOff>123825</xdr:rowOff>
    </xdr:to>
    <xdr:pic>
      <xdr:nvPicPr>
        <xdr:cNvPr id="5" name="CommandButton1"/>
        <xdr:cNvPicPr preferRelativeResize="1">
          <a:picLocks noChangeAspect="1"/>
        </xdr:cNvPicPr>
      </xdr:nvPicPr>
      <xdr:blipFill>
        <a:blip r:embed="rId5"/>
        <a:stretch>
          <a:fillRect/>
        </a:stretch>
      </xdr:blipFill>
      <xdr:spPr>
        <a:xfrm>
          <a:off x="2286000" y="4800600"/>
          <a:ext cx="12668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457200</xdr:colOff>
      <xdr:row>29</xdr:row>
      <xdr:rowOff>38100</xdr:rowOff>
    </xdr:from>
    <xdr:to>
      <xdr:col>5</xdr:col>
      <xdr:colOff>352425</xdr:colOff>
      <xdr:row>31</xdr:row>
      <xdr:rowOff>95250</xdr:rowOff>
    </xdr:to>
    <xdr:pic>
      <xdr:nvPicPr>
        <xdr:cNvPr id="1" name="CommandButton1"/>
        <xdr:cNvPicPr preferRelativeResize="1">
          <a:picLocks noChangeAspect="1"/>
        </xdr:cNvPicPr>
      </xdr:nvPicPr>
      <xdr:blipFill>
        <a:blip r:embed="rId1"/>
        <a:stretch>
          <a:fillRect/>
        </a:stretch>
      </xdr:blipFill>
      <xdr:spPr>
        <a:xfrm>
          <a:off x="2286000" y="4800600"/>
          <a:ext cx="1266825" cy="381000"/>
        </a:xfrm>
        <a:prstGeom prst="rect">
          <a:avLst/>
        </a:prstGeom>
        <a:noFill/>
        <a:ln w="9525" cmpd="sng">
          <a:noFill/>
        </a:ln>
      </xdr:spPr>
    </xdr:pic>
    <xdr:clientData/>
  </xdr:twoCellAnchor>
  <xdr:twoCellAnchor editAs="oneCell">
    <xdr:from>
      <xdr:col>5</xdr:col>
      <xdr:colOff>419100</xdr:colOff>
      <xdr:row>29</xdr:row>
      <xdr:rowOff>38100</xdr:rowOff>
    </xdr:from>
    <xdr:to>
      <xdr:col>7</xdr:col>
      <xdr:colOff>466725</xdr:colOff>
      <xdr:row>31</xdr:row>
      <xdr:rowOff>95250</xdr:rowOff>
    </xdr:to>
    <xdr:pic>
      <xdr:nvPicPr>
        <xdr:cNvPr id="2" name="CommandButton2"/>
        <xdr:cNvPicPr preferRelativeResize="1">
          <a:picLocks noChangeAspect="1"/>
        </xdr:cNvPicPr>
      </xdr:nvPicPr>
      <xdr:blipFill>
        <a:blip r:embed="rId2"/>
        <a:stretch>
          <a:fillRect/>
        </a:stretch>
      </xdr:blipFill>
      <xdr:spPr>
        <a:xfrm>
          <a:off x="3619500" y="4800600"/>
          <a:ext cx="1266825" cy="381000"/>
        </a:xfrm>
        <a:prstGeom prst="rect">
          <a:avLst/>
        </a:prstGeom>
        <a:noFill/>
        <a:ln w="9525" cmpd="sng">
          <a:noFill/>
        </a:ln>
      </xdr:spPr>
    </xdr:pic>
    <xdr:clientData/>
  </xdr:twoCellAnchor>
  <xdr:twoCellAnchor editAs="oneCell">
    <xdr:from>
      <xdr:col>7</xdr:col>
      <xdr:colOff>533400</xdr:colOff>
      <xdr:row>29</xdr:row>
      <xdr:rowOff>38100</xdr:rowOff>
    </xdr:from>
    <xdr:to>
      <xdr:col>9</xdr:col>
      <xdr:colOff>581025</xdr:colOff>
      <xdr:row>31</xdr:row>
      <xdr:rowOff>95250</xdr:rowOff>
    </xdr:to>
    <xdr:pic>
      <xdr:nvPicPr>
        <xdr:cNvPr id="3" name="CommandButton3"/>
        <xdr:cNvPicPr preferRelativeResize="1">
          <a:picLocks noChangeAspect="1"/>
        </xdr:cNvPicPr>
      </xdr:nvPicPr>
      <xdr:blipFill>
        <a:blip r:embed="rId3"/>
        <a:stretch>
          <a:fillRect/>
        </a:stretch>
      </xdr:blipFill>
      <xdr:spPr>
        <a:xfrm>
          <a:off x="4953000" y="4800600"/>
          <a:ext cx="1266825" cy="381000"/>
        </a:xfrm>
        <a:prstGeom prst="rect">
          <a:avLst/>
        </a:prstGeom>
        <a:noFill/>
        <a:ln w="9525" cmpd="sng">
          <a:noFill/>
        </a:ln>
      </xdr:spPr>
    </xdr:pic>
    <xdr:clientData/>
  </xdr:twoCellAnchor>
  <xdr:twoCellAnchor>
    <xdr:from>
      <xdr:col>6</xdr:col>
      <xdr:colOff>0</xdr:colOff>
      <xdr:row>3</xdr:row>
      <xdr:rowOff>0</xdr:rowOff>
    </xdr:from>
    <xdr:to>
      <xdr:col>12</xdr:col>
      <xdr:colOff>447675</xdr:colOff>
      <xdr:row>24</xdr:row>
      <xdr:rowOff>38100</xdr:rowOff>
    </xdr:to>
    <xdr:graphicFrame>
      <xdr:nvGraphicFramePr>
        <xdr:cNvPr id="4" name="Chart 5"/>
        <xdr:cNvGraphicFramePr/>
      </xdr:nvGraphicFramePr>
      <xdr:xfrm>
        <a:off x="3810000" y="552450"/>
        <a:ext cx="4105275" cy="3438525"/>
      </xdr:xfrm>
      <a:graphic>
        <a:graphicData uri="http://schemas.openxmlformats.org/drawingml/2006/chart">
          <c:chart xmlns:c="http://schemas.openxmlformats.org/drawingml/2006/chart" r:id="rId4"/>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0</xdr:rowOff>
    </xdr:from>
    <xdr:to>
      <xdr:col>11</xdr:col>
      <xdr:colOff>28575</xdr:colOff>
      <xdr:row>24</xdr:row>
      <xdr:rowOff>38100</xdr:rowOff>
    </xdr:to>
    <xdr:graphicFrame>
      <xdr:nvGraphicFramePr>
        <xdr:cNvPr id="1" name="Chart 26"/>
        <xdr:cNvGraphicFramePr/>
      </xdr:nvGraphicFramePr>
      <xdr:xfrm>
        <a:off x="2066925" y="1609725"/>
        <a:ext cx="3305175" cy="2809875"/>
      </xdr:xfrm>
      <a:graphic>
        <a:graphicData uri="http://schemas.openxmlformats.org/drawingml/2006/chart">
          <c:chart xmlns:c="http://schemas.openxmlformats.org/drawingml/2006/chart" r:id="rId1"/>
        </a:graphicData>
      </a:graphic>
    </xdr:graphicFrame>
    <xdr:clientData fLocksWithSheet="0"/>
  </xdr:twoCellAnchor>
  <xdr:twoCellAnchor>
    <xdr:from>
      <xdr:col>11</xdr:col>
      <xdr:colOff>28575</xdr:colOff>
      <xdr:row>9</xdr:row>
      <xdr:rowOff>0</xdr:rowOff>
    </xdr:from>
    <xdr:to>
      <xdr:col>18</xdr:col>
      <xdr:colOff>571500</xdr:colOff>
      <xdr:row>24</xdr:row>
      <xdr:rowOff>38100</xdr:rowOff>
    </xdr:to>
    <xdr:graphicFrame>
      <xdr:nvGraphicFramePr>
        <xdr:cNvPr id="2" name="Chart 28"/>
        <xdr:cNvGraphicFramePr/>
      </xdr:nvGraphicFramePr>
      <xdr:xfrm>
        <a:off x="5372100" y="1609725"/>
        <a:ext cx="3390900" cy="2809875"/>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3</xdr:col>
      <xdr:colOff>219075</xdr:colOff>
      <xdr:row>27</xdr:row>
      <xdr:rowOff>28575</xdr:rowOff>
    </xdr:from>
    <xdr:to>
      <xdr:col>8</xdr:col>
      <xdr:colOff>171450</xdr:colOff>
      <xdr:row>29</xdr:row>
      <xdr:rowOff>85725</xdr:rowOff>
    </xdr:to>
    <xdr:pic>
      <xdr:nvPicPr>
        <xdr:cNvPr id="3" name="CommandButton1"/>
        <xdr:cNvPicPr preferRelativeResize="1">
          <a:picLocks noChangeAspect="1"/>
        </xdr:cNvPicPr>
      </xdr:nvPicPr>
      <xdr:blipFill>
        <a:blip r:embed="rId3"/>
        <a:stretch>
          <a:fillRect/>
        </a:stretch>
      </xdr:blipFill>
      <xdr:spPr>
        <a:xfrm>
          <a:off x="2286000" y="4819650"/>
          <a:ext cx="1266825" cy="381000"/>
        </a:xfrm>
        <a:prstGeom prst="rect">
          <a:avLst/>
        </a:prstGeom>
        <a:noFill/>
        <a:ln w="9525" cmpd="sng">
          <a:noFill/>
        </a:ln>
      </xdr:spPr>
    </xdr:pic>
    <xdr:clientData/>
  </xdr:twoCellAnchor>
  <xdr:twoCellAnchor editAs="oneCell">
    <xdr:from>
      <xdr:col>8</xdr:col>
      <xdr:colOff>238125</xdr:colOff>
      <xdr:row>27</xdr:row>
      <xdr:rowOff>28575</xdr:rowOff>
    </xdr:from>
    <xdr:to>
      <xdr:col>10</xdr:col>
      <xdr:colOff>57150</xdr:colOff>
      <xdr:row>29</xdr:row>
      <xdr:rowOff>85725</xdr:rowOff>
    </xdr:to>
    <xdr:pic>
      <xdr:nvPicPr>
        <xdr:cNvPr id="4" name="CommandButton2"/>
        <xdr:cNvPicPr preferRelativeResize="1">
          <a:picLocks noChangeAspect="1"/>
        </xdr:cNvPicPr>
      </xdr:nvPicPr>
      <xdr:blipFill>
        <a:blip r:embed="rId4"/>
        <a:stretch>
          <a:fillRect/>
        </a:stretch>
      </xdr:blipFill>
      <xdr:spPr>
        <a:xfrm>
          <a:off x="3619500" y="4819650"/>
          <a:ext cx="1266825" cy="381000"/>
        </a:xfrm>
        <a:prstGeom prst="rect">
          <a:avLst/>
        </a:prstGeom>
        <a:noFill/>
        <a:ln w="9525" cmpd="sng">
          <a:noFill/>
        </a:ln>
      </xdr:spPr>
    </xdr:pic>
    <xdr:clientData/>
  </xdr:twoCellAnchor>
  <xdr:twoCellAnchor editAs="oneCell">
    <xdr:from>
      <xdr:col>10</xdr:col>
      <xdr:colOff>123825</xdr:colOff>
      <xdr:row>27</xdr:row>
      <xdr:rowOff>28575</xdr:rowOff>
    </xdr:from>
    <xdr:to>
      <xdr:col>14</xdr:col>
      <xdr:colOff>247650</xdr:colOff>
      <xdr:row>29</xdr:row>
      <xdr:rowOff>85725</xdr:rowOff>
    </xdr:to>
    <xdr:pic>
      <xdr:nvPicPr>
        <xdr:cNvPr id="5" name="CommandButton3"/>
        <xdr:cNvPicPr preferRelativeResize="1">
          <a:picLocks noChangeAspect="1"/>
        </xdr:cNvPicPr>
      </xdr:nvPicPr>
      <xdr:blipFill>
        <a:blip r:embed="rId5"/>
        <a:stretch>
          <a:fillRect/>
        </a:stretch>
      </xdr:blipFill>
      <xdr:spPr>
        <a:xfrm>
          <a:off x="4953000" y="4819650"/>
          <a:ext cx="12668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xdr:row>
      <xdr:rowOff>28575</xdr:rowOff>
    </xdr:from>
    <xdr:to>
      <xdr:col>10</xdr:col>
      <xdr:colOff>381000</xdr:colOff>
      <xdr:row>24</xdr:row>
      <xdr:rowOff>76200</xdr:rowOff>
    </xdr:to>
    <xdr:graphicFrame>
      <xdr:nvGraphicFramePr>
        <xdr:cNvPr id="1" name="Chart 1"/>
        <xdr:cNvGraphicFramePr/>
      </xdr:nvGraphicFramePr>
      <xdr:xfrm>
        <a:off x="3114675" y="619125"/>
        <a:ext cx="4105275" cy="3638550"/>
      </xdr:xfrm>
      <a:graphic>
        <a:graphicData uri="http://schemas.openxmlformats.org/drawingml/2006/chart">
          <c:chart xmlns:c="http://schemas.openxmlformats.org/drawingml/2006/chart" r:id="rId1"/>
        </a:graphicData>
      </a:graphic>
    </xdr:graphicFrame>
    <xdr:clientData fLocksWithSheet="0"/>
  </xdr:twoCellAnchor>
  <xdr:twoCellAnchor editAs="oneCell">
    <xdr:from>
      <xdr:col>2</xdr:col>
      <xdr:colOff>152400</xdr:colOff>
      <xdr:row>27</xdr:row>
      <xdr:rowOff>152400</xdr:rowOff>
    </xdr:from>
    <xdr:to>
      <xdr:col>4</xdr:col>
      <xdr:colOff>581025</xdr:colOff>
      <xdr:row>30</xdr:row>
      <xdr:rowOff>47625</xdr:rowOff>
    </xdr:to>
    <xdr:pic>
      <xdr:nvPicPr>
        <xdr:cNvPr id="2" name="CommandButton1"/>
        <xdr:cNvPicPr preferRelativeResize="1">
          <a:picLocks noChangeAspect="1"/>
        </xdr:cNvPicPr>
      </xdr:nvPicPr>
      <xdr:blipFill>
        <a:blip r:embed="rId2"/>
        <a:stretch>
          <a:fillRect/>
        </a:stretch>
      </xdr:blipFill>
      <xdr:spPr>
        <a:xfrm>
          <a:off x="2286000" y="4819650"/>
          <a:ext cx="1266825" cy="381000"/>
        </a:xfrm>
        <a:prstGeom prst="rect">
          <a:avLst/>
        </a:prstGeom>
        <a:noFill/>
        <a:ln w="9525" cmpd="sng">
          <a:noFill/>
        </a:ln>
      </xdr:spPr>
    </xdr:pic>
    <xdr:clientData/>
  </xdr:twoCellAnchor>
  <xdr:twoCellAnchor editAs="oneCell">
    <xdr:from>
      <xdr:col>5</xdr:col>
      <xdr:colOff>38100</xdr:colOff>
      <xdr:row>27</xdr:row>
      <xdr:rowOff>152400</xdr:rowOff>
    </xdr:from>
    <xdr:to>
      <xdr:col>6</xdr:col>
      <xdr:colOff>695325</xdr:colOff>
      <xdr:row>30</xdr:row>
      <xdr:rowOff>47625</xdr:rowOff>
    </xdr:to>
    <xdr:pic>
      <xdr:nvPicPr>
        <xdr:cNvPr id="3" name="CommandButton2"/>
        <xdr:cNvPicPr preferRelativeResize="1">
          <a:picLocks noChangeAspect="1"/>
        </xdr:cNvPicPr>
      </xdr:nvPicPr>
      <xdr:blipFill>
        <a:blip r:embed="rId3"/>
        <a:stretch>
          <a:fillRect/>
        </a:stretch>
      </xdr:blipFill>
      <xdr:spPr>
        <a:xfrm>
          <a:off x="3619500" y="4819650"/>
          <a:ext cx="1266825" cy="381000"/>
        </a:xfrm>
        <a:prstGeom prst="rect">
          <a:avLst/>
        </a:prstGeom>
        <a:noFill/>
        <a:ln w="9525" cmpd="sng">
          <a:noFill/>
        </a:ln>
      </xdr:spPr>
    </xdr:pic>
    <xdr:clientData/>
  </xdr:twoCellAnchor>
  <xdr:twoCellAnchor editAs="oneCell">
    <xdr:from>
      <xdr:col>6</xdr:col>
      <xdr:colOff>762000</xdr:colOff>
      <xdr:row>27</xdr:row>
      <xdr:rowOff>152400</xdr:rowOff>
    </xdr:from>
    <xdr:to>
      <xdr:col>8</xdr:col>
      <xdr:colOff>600075</xdr:colOff>
      <xdr:row>30</xdr:row>
      <xdr:rowOff>47625</xdr:rowOff>
    </xdr:to>
    <xdr:pic>
      <xdr:nvPicPr>
        <xdr:cNvPr id="4" name="CommandButton3"/>
        <xdr:cNvPicPr preferRelativeResize="1">
          <a:picLocks noChangeAspect="1"/>
        </xdr:cNvPicPr>
      </xdr:nvPicPr>
      <xdr:blipFill>
        <a:blip r:embed="rId4"/>
        <a:stretch>
          <a:fillRect/>
        </a:stretch>
      </xdr:blipFill>
      <xdr:spPr>
        <a:xfrm>
          <a:off x="4953000" y="4819650"/>
          <a:ext cx="12668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7</xdr:row>
      <xdr:rowOff>95250</xdr:rowOff>
    </xdr:from>
    <xdr:to>
      <xdr:col>6</xdr:col>
      <xdr:colOff>561975</xdr:colOff>
      <xdr:row>7</xdr:row>
      <xdr:rowOff>95250</xdr:rowOff>
    </xdr:to>
    <xdr:sp>
      <xdr:nvSpPr>
        <xdr:cNvPr id="1" name="Line 2"/>
        <xdr:cNvSpPr>
          <a:spLocks/>
        </xdr:cNvSpPr>
      </xdr:nvSpPr>
      <xdr:spPr>
        <a:xfrm>
          <a:off x="2933700" y="1343025"/>
          <a:ext cx="48577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47625</xdr:colOff>
      <xdr:row>31</xdr:row>
      <xdr:rowOff>57150</xdr:rowOff>
    </xdr:from>
    <xdr:to>
      <xdr:col>7</xdr:col>
      <xdr:colOff>85725</xdr:colOff>
      <xdr:row>33</xdr:row>
      <xdr:rowOff>114300</xdr:rowOff>
    </xdr:to>
    <xdr:pic>
      <xdr:nvPicPr>
        <xdr:cNvPr id="2" name="CommandButton1"/>
        <xdr:cNvPicPr preferRelativeResize="1">
          <a:picLocks noChangeAspect="1"/>
        </xdr:cNvPicPr>
      </xdr:nvPicPr>
      <xdr:blipFill>
        <a:blip r:embed="rId1"/>
        <a:stretch>
          <a:fillRect/>
        </a:stretch>
      </xdr:blipFill>
      <xdr:spPr>
        <a:xfrm>
          <a:off x="2286000" y="4800600"/>
          <a:ext cx="1266825" cy="381000"/>
        </a:xfrm>
        <a:prstGeom prst="rect">
          <a:avLst/>
        </a:prstGeom>
        <a:noFill/>
        <a:ln w="9525" cmpd="sng">
          <a:noFill/>
        </a:ln>
      </xdr:spPr>
    </xdr:pic>
    <xdr:clientData/>
  </xdr:twoCellAnchor>
  <xdr:twoCellAnchor editAs="oneCell">
    <xdr:from>
      <xdr:col>7</xdr:col>
      <xdr:colOff>152400</xdr:colOff>
      <xdr:row>31</xdr:row>
      <xdr:rowOff>57150</xdr:rowOff>
    </xdr:from>
    <xdr:to>
      <xdr:col>8</xdr:col>
      <xdr:colOff>714375</xdr:colOff>
      <xdr:row>33</xdr:row>
      <xdr:rowOff>114300</xdr:rowOff>
    </xdr:to>
    <xdr:pic>
      <xdr:nvPicPr>
        <xdr:cNvPr id="3" name="CommandButton2"/>
        <xdr:cNvPicPr preferRelativeResize="1">
          <a:picLocks noChangeAspect="1"/>
        </xdr:cNvPicPr>
      </xdr:nvPicPr>
      <xdr:blipFill>
        <a:blip r:embed="rId2"/>
        <a:stretch>
          <a:fillRect/>
        </a:stretch>
      </xdr:blipFill>
      <xdr:spPr>
        <a:xfrm>
          <a:off x="3619500" y="4800600"/>
          <a:ext cx="1266825" cy="381000"/>
        </a:xfrm>
        <a:prstGeom prst="rect">
          <a:avLst/>
        </a:prstGeom>
        <a:noFill/>
        <a:ln w="9525" cmpd="sng">
          <a:noFill/>
        </a:ln>
      </xdr:spPr>
    </xdr:pic>
    <xdr:clientData/>
  </xdr:twoCellAnchor>
  <xdr:twoCellAnchor editAs="oneCell">
    <xdr:from>
      <xdr:col>8</xdr:col>
      <xdr:colOff>781050</xdr:colOff>
      <xdr:row>31</xdr:row>
      <xdr:rowOff>57150</xdr:rowOff>
    </xdr:from>
    <xdr:to>
      <xdr:col>10</xdr:col>
      <xdr:colOff>533400</xdr:colOff>
      <xdr:row>33</xdr:row>
      <xdr:rowOff>114300</xdr:rowOff>
    </xdr:to>
    <xdr:pic>
      <xdr:nvPicPr>
        <xdr:cNvPr id="4" name="CommandButton3"/>
        <xdr:cNvPicPr preferRelativeResize="1">
          <a:picLocks noChangeAspect="1"/>
        </xdr:cNvPicPr>
      </xdr:nvPicPr>
      <xdr:blipFill>
        <a:blip r:embed="rId3"/>
        <a:stretch>
          <a:fillRect/>
        </a:stretch>
      </xdr:blipFill>
      <xdr:spPr>
        <a:xfrm>
          <a:off x="4953000" y="4800600"/>
          <a:ext cx="1266825" cy="381000"/>
        </a:xfrm>
        <a:prstGeom prst="rect">
          <a:avLst/>
        </a:prstGeom>
        <a:noFill/>
        <a:ln w="9525" cmpd="sng">
          <a:noFill/>
        </a:ln>
      </xdr:spPr>
    </xdr:pic>
    <xdr:clientData/>
  </xdr:twoCellAnchor>
  <xdr:twoCellAnchor>
    <xdr:from>
      <xdr:col>6</xdr:col>
      <xdr:colOff>76200</xdr:colOff>
      <xdr:row>6</xdr:row>
      <xdr:rowOff>76200</xdr:rowOff>
    </xdr:from>
    <xdr:to>
      <xdr:col>6</xdr:col>
      <xdr:colOff>561975</xdr:colOff>
      <xdr:row>6</xdr:row>
      <xdr:rowOff>76200</xdr:rowOff>
    </xdr:to>
    <xdr:sp>
      <xdr:nvSpPr>
        <xdr:cNvPr id="5" name="Line 8"/>
        <xdr:cNvSpPr>
          <a:spLocks/>
        </xdr:cNvSpPr>
      </xdr:nvSpPr>
      <xdr:spPr>
        <a:xfrm>
          <a:off x="2933700" y="1162050"/>
          <a:ext cx="48577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3</xdr:col>
      <xdr:colOff>295275</xdr:colOff>
      <xdr:row>26</xdr:row>
      <xdr:rowOff>38100</xdr:rowOff>
    </xdr:from>
    <xdr:to>
      <xdr:col>4</xdr:col>
      <xdr:colOff>390525</xdr:colOff>
      <xdr:row>28</xdr:row>
      <xdr:rowOff>66675</xdr:rowOff>
    </xdr:to>
    <xdr:pic>
      <xdr:nvPicPr>
        <xdr:cNvPr id="6" name="OptionButton1"/>
        <xdr:cNvPicPr preferRelativeResize="1">
          <a:picLocks noChangeAspect="1"/>
        </xdr:cNvPicPr>
      </xdr:nvPicPr>
      <xdr:blipFill>
        <a:blip r:embed="rId4"/>
        <a:stretch>
          <a:fillRect/>
        </a:stretch>
      </xdr:blipFill>
      <xdr:spPr>
        <a:xfrm>
          <a:off x="1133475" y="4076700"/>
          <a:ext cx="819150" cy="247650"/>
        </a:xfrm>
        <a:prstGeom prst="rect">
          <a:avLst/>
        </a:prstGeom>
        <a:noFill/>
        <a:ln w="9525" cmpd="sng">
          <a:noFill/>
        </a:ln>
      </xdr:spPr>
    </xdr:pic>
    <xdr:clientData/>
  </xdr:twoCellAnchor>
  <xdr:twoCellAnchor editAs="oneCell">
    <xdr:from>
      <xdr:col>4</xdr:col>
      <xdr:colOff>476250</xdr:colOff>
      <xdr:row>26</xdr:row>
      <xdr:rowOff>38100</xdr:rowOff>
    </xdr:from>
    <xdr:to>
      <xdr:col>6</xdr:col>
      <xdr:colOff>19050</xdr:colOff>
      <xdr:row>28</xdr:row>
      <xdr:rowOff>66675</xdr:rowOff>
    </xdr:to>
    <xdr:pic>
      <xdr:nvPicPr>
        <xdr:cNvPr id="7" name="OptionButton2"/>
        <xdr:cNvPicPr preferRelativeResize="1">
          <a:picLocks noChangeAspect="1"/>
        </xdr:cNvPicPr>
      </xdr:nvPicPr>
      <xdr:blipFill>
        <a:blip r:embed="rId5"/>
        <a:stretch>
          <a:fillRect/>
        </a:stretch>
      </xdr:blipFill>
      <xdr:spPr>
        <a:xfrm>
          <a:off x="2038350" y="4076700"/>
          <a:ext cx="8382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28</xdr:row>
      <xdr:rowOff>57150</xdr:rowOff>
    </xdr:from>
    <xdr:to>
      <xdr:col>8</xdr:col>
      <xdr:colOff>85725</xdr:colOff>
      <xdr:row>30</xdr:row>
      <xdr:rowOff>114300</xdr:rowOff>
    </xdr:to>
    <xdr:pic>
      <xdr:nvPicPr>
        <xdr:cNvPr id="1" name="CommandButton1"/>
        <xdr:cNvPicPr preferRelativeResize="1">
          <a:picLocks noChangeAspect="1"/>
        </xdr:cNvPicPr>
      </xdr:nvPicPr>
      <xdr:blipFill>
        <a:blip r:embed="rId1"/>
        <a:stretch>
          <a:fillRect/>
        </a:stretch>
      </xdr:blipFill>
      <xdr:spPr>
        <a:xfrm>
          <a:off x="2286000" y="4800600"/>
          <a:ext cx="1266825" cy="381000"/>
        </a:xfrm>
        <a:prstGeom prst="rect">
          <a:avLst/>
        </a:prstGeom>
        <a:noFill/>
        <a:ln w="9525" cmpd="sng">
          <a:noFill/>
        </a:ln>
      </xdr:spPr>
    </xdr:pic>
    <xdr:clientData/>
  </xdr:twoCellAnchor>
  <xdr:twoCellAnchor editAs="oneCell">
    <xdr:from>
      <xdr:col>8</xdr:col>
      <xdr:colOff>152400</xdr:colOff>
      <xdr:row>28</xdr:row>
      <xdr:rowOff>57150</xdr:rowOff>
    </xdr:from>
    <xdr:to>
      <xdr:col>10</xdr:col>
      <xdr:colOff>200025</xdr:colOff>
      <xdr:row>30</xdr:row>
      <xdr:rowOff>114300</xdr:rowOff>
    </xdr:to>
    <xdr:pic>
      <xdr:nvPicPr>
        <xdr:cNvPr id="2" name="CommandButton2"/>
        <xdr:cNvPicPr preferRelativeResize="1">
          <a:picLocks noChangeAspect="1"/>
        </xdr:cNvPicPr>
      </xdr:nvPicPr>
      <xdr:blipFill>
        <a:blip r:embed="rId2"/>
        <a:stretch>
          <a:fillRect/>
        </a:stretch>
      </xdr:blipFill>
      <xdr:spPr>
        <a:xfrm>
          <a:off x="3619500" y="4800600"/>
          <a:ext cx="1266825" cy="381000"/>
        </a:xfrm>
        <a:prstGeom prst="rect">
          <a:avLst/>
        </a:prstGeom>
        <a:noFill/>
        <a:ln w="9525" cmpd="sng">
          <a:noFill/>
        </a:ln>
      </xdr:spPr>
    </xdr:pic>
    <xdr:clientData/>
  </xdr:twoCellAnchor>
  <xdr:twoCellAnchor editAs="oneCell">
    <xdr:from>
      <xdr:col>10</xdr:col>
      <xdr:colOff>266700</xdr:colOff>
      <xdr:row>28</xdr:row>
      <xdr:rowOff>57150</xdr:rowOff>
    </xdr:from>
    <xdr:to>
      <xdr:col>12</xdr:col>
      <xdr:colOff>285750</xdr:colOff>
      <xdr:row>30</xdr:row>
      <xdr:rowOff>114300</xdr:rowOff>
    </xdr:to>
    <xdr:pic>
      <xdr:nvPicPr>
        <xdr:cNvPr id="3" name="CommandButton3"/>
        <xdr:cNvPicPr preferRelativeResize="1">
          <a:picLocks noChangeAspect="1"/>
        </xdr:cNvPicPr>
      </xdr:nvPicPr>
      <xdr:blipFill>
        <a:blip r:embed="rId3"/>
        <a:stretch>
          <a:fillRect/>
        </a:stretch>
      </xdr:blipFill>
      <xdr:spPr>
        <a:xfrm>
          <a:off x="4953000" y="4800600"/>
          <a:ext cx="1266825" cy="381000"/>
        </a:xfrm>
        <a:prstGeom prst="rect">
          <a:avLst/>
        </a:prstGeom>
        <a:noFill/>
        <a:ln w="9525" cmpd="sng">
          <a:noFill/>
        </a:ln>
      </xdr:spPr>
    </xdr:pic>
    <xdr:clientData/>
  </xdr:twoCellAnchor>
  <xdr:twoCellAnchor>
    <xdr:from>
      <xdr:col>5</xdr:col>
      <xdr:colOff>66675</xdr:colOff>
      <xdr:row>6</xdr:row>
      <xdr:rowOff>9525</xdr:rowOff>
    </xdr:from>
    <xdr:to>
      <xdr:col>10</xdr:col>
      <xdr:colOff>466725</xdr:colOff>
      <xdr:row>23</xdr:row>
      <xdr:rowOff>19050</xdr:rowOff>
    </xdr:to>
    <xdr:graphicFrame>
      <xdr:nvGraphicFramePr>
        <xdr:cNvPr id="4" name="Chart 8"/>
        <xdr:cNvGraphicFramePr/>
      </xdr:nvGraphicFramePr>
      <xdr:xfrm>
        <a:off x="1704975" y="1057275"/>
        <a:ext cx="3448050" cy="2771775"/>
      </xdr:xfrm>
      <a:graphic>
        <a:graphicData uri="http://schemas.openxmlformats.org/drawingml/2006/chart">
          <c:chart xmlns:c="http://schemas.openxmlformats.org/drawingml/2006/chart" r:id="rId4"/>
        </a:graphicData>
      </a:graphic>
    </xdr:graphicFrame>
    <xdr:clientData fLocksWithSheet="0"/>
  </xdr:twoCellAnchor>
  <xdr:twoCellAnchor>
    <xdr:from>
      <xdr:col>10</xdr:col>
      <xdr:colOff>466725</xdr:colOff>
      <xdr:row>6</xdr:row>
      <xdr:rowOff>9525</xdr:rowOff>
    </xdr:from>
    <xdr:to>
      <xdr:col>16</xdr:col>
      <xdr:colOff>228600</xdr:colOff>
      <xdr:row>23</xdr:row>
      <xdr:rowOff>19050</xdr:rowOff>
    </xdr:to>
    <xdr:graphicFrame>
      <xdr:nvGraphicFramePr>
        <xdr:cNvPr id="5" name="Chart 9"/>
        <xdr:cNvGraphicFramePr/>
      </xdr:nvGraphicFramePr>
      <xdr:xfrm>
        <a:off x="5153025" y="1057275"/>
        <a:ext cx="3448050" cy="2771775"/>
      </xdr:xfrm>
      <a:graphic>
        <a:graphicData uri="http://schemas.openxmlformats.org/drawingml/2006/chart">
          <c:chart xmlns:c="http://schemas.openxmlformats.org/drawingml/2006/chart" r:id="rId5"/>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676275</xdr:colOff>
      <xdr:row>29</xdr:row>
      <xdr:rowOff>38100</xdr:rowOff>
    </xdr:from>
    <xdr:to>
      <xdr:col>6</xdr:col>
      <xdr:colOff>561975</xdr:colOff>
      <xdr:row>31</xdr:row>
      <xdr:rowOff>95250</xdr:rowOff>
    </xdr:to>
    <xdr:pic>
      <xdr:nvPicPr>
        <xdr:cNvPr id="1" name="CommandButton1"/>
        <xdr:cNvPicPr preferRelativeResize="1">
          <a:picLocks noChangeAspect="1"/>
        </xdr:cNvPicPr>
      </xdr:nvPicPr>
      <xdr:blipFill>
        <a:blip r:embed="rId1"/>
        <a:stretch>
          <a:fillRect/>
        </a:stretch>
      </xdr:blipFill>
      <xdr:spPr>
        <a:xfrm>
          <a:off x="2286000" y="4800600"/>
          <a:ext cx="1266825" cy="381000"/>
        </a:xfrm>
        <a:prstGeom prst="rect">
          <a:avLst/>
        </a:prstGeom>
        <a:noFill/>
        <a:ln w="9525" cmpd="sng">
          <a:noFill/>
        </a:ln>
      </xdr:spPr>
    </xdr:pic>
    <xdr:clientData/>
  </xdr:twoCellAnchor>
  <xdr:twoCellAnchor editAs="oneCell">
    <xdr:from>
      <xdr:col>7</xdr:col>
      <xdr:colOff>19050</xdr:colOff>
      <xdr:row>29</xdr:row>
      <xdr:rowOff>38100</xdr:rowOff>
    </xdr:from>
    <xdr:to>
      <xdr:col>8</xdr:col>
      <xdr:colOff>381000</xdr:colOff>
      <xdr:row>31</xdr:row>
      <xdr:rowOff>95250</xdr:rowOff>
    </xdr:to>
    <xdr:pic>
      <xdr:nvPicPr>
        <xdr:cNvPr id="2" name="CommandButton2"/>
        <xdr:cNvPicPr preferRelativeResize="1">
          <a:picLocks noChangeAspect="1"/>
        </xdr:cNvPicPr>
      </xdr:nvPicPr>
      <xdr:blipFill>
        <a:blip r:embed="rId2"/>
        <a:stretch>
          <a:fillRect/>
        </a:stretch>
      </xdr:blipFill>
      <xdr:spPr>
        <a:xfrm>
          <a:off x="3619500" y="4800600"/>
          <a:ext cx="1266825" cy="381000"/>
        </a:xfrm>
        <a:prstGeom prst="rect">
          <a:avLst/>
        </a:prstGeom>
        <a:noFill/>
        <a:ln w="9525" cmpd="sng">
          <a:noFill/>
        </a:ln>
      </xdr:spPr>
    </xdr:pic>
    <xdr:clientData/>
  </xdr:twoCellAnchor>
  <xdr:twoCellAnchor editAs="oneCell">
    <xdr:from>
      <xdr:col>8</xdr:col>
      <xdr:colOff>447675</xdr:colOff>
      <xdr:row>29</xdr:row>
      <xdr:rowOff>38100</xdr:rowOff>
    </xdr:from>
    <xdr:to>
      <xdr:col>10</xdr:col>
      <xdr:colOff>495300</xdr:colOff>
      <xdr:row>31</xdr:row>
      <xdr:rowOff>95250</xdr:rowOff>
    </xdr:to>
    <xdr:pic>
      <xdr:nvPicPr>
        <xdr:cNvPr id="3" name="CommandButton3"/>
        <xdr:cNvPicPr preferRelativeResize="1">
          <a:picLocks noChangeAspect="1"/>
        </xdr:cNvPicPr>
      </xdr:nvPicPr>
      <xdr:blipFill>
        <a:blip r:embed="rId3"/>
        <a:stretch>
          <a:fillRect/>
        </a:stretch>
      </xdr:blipFill>
      <xdr:spPr>
        <a:xfrm>
          <a:off x="4953000" y="4800600"/>
          <a:ext cx="1266825" cy="381000"/>
        </a:xfrm>
        <a:prstGeom prst="rect">
          <a:avLst/>
        </a:prstGeom>
        <a:noFill/>
        <a:ln w="9525" cmpd="sng">
          <a:noFill/>
        </a:ln>
      </xdr:spPr>
    </xdr:pic>
    <xdr:clientData/>
  </xdr:twoCellAnchor>
  <xdr:twoCellAnchor editAs="oneCell">
    <xdr:from>
      <xdr:col>7</xdr:col>
      <xdr:colOff>0</xdr:colOff>
      <xdr:row>22</xdr:row>
      <xdr:rowOff>66675</xdr:rowOff>
    </xdr:from>
    <xdr:to>
      <xdr:col>7</xdr:col>
      <xdr:colOff>847725</xdr:colOff>
      <xdr:row>29</xdr:row>
      <xdr:rowOff>9525</xdr:rowOff>
    </xdr:to>
    <xdr:pic>
      <xdr:nvPicPr>
        <xdr:cNvPr id="4" name="Picture 26"/>
        <xdr:cNvPicPr preferRelativeResize="1">
          <a:picLocks noChangeAspect="1"/>
        </xdr:cNvPicPr>
      </xdr:nvPicPr>
      <xdr:blipFill>
        <a:blip r:embed="rId4"/>
        <a:stretch>
          <a:fillRect/>
        </a:stretch>
      </xdr:blipFill>
      <xdr:spPr>
        <a:xfrm>
          <a:off x="3600450" y="3695700"/>
          <a:ext cx="847725" cy="1076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pplications\NCP1562\NCP1562%20Calcul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F"/>
      <sheetName val="Osc_Graphs"/>
      <sheetName val="UV&amp;OV (multiplexed pin)"/>
      <sheetName val="Osc"/>
      <sheetName val="UV&amp;OV (combined)"/>
      <sheetName val="UV&amp;OV1 (ind pins)"/>
      <sheetName val="OscData1"/>
      <sheetName val="OscData2"/>
      <sheetName val="FaultOut"/>
      <sheetName val="Sheet2"/>
      <sheetName val="Sheet1"/>
    </sheetNames>
    <sheetDataSet>
      <sheetData sheetId="10">
        <row r="4">
          <cell r="A4">
            <v>36</v>
          </cell>
          <cell r="D4">
            <v>20</v>
          </cell>
          <cell r="E4">
            <v>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pastrana@onsemi.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J32"/>
  <sheetViews>
    <sheetView showGridLines="0" tabSelected="1" workbookViewId="0" topLeftCell="A1">
      <selection activeCell="I30" sqref="I30"/>
    </sheetView>
  </sheetViews>
  <sheetFormatPr defaultColWidth="9.140625" defaultRowHeight="12.75"/>
  <sheetData>
    <row r="1" spans="1:10" ht="12.75">
      <c r="A1" s="254" t="s">
        <v>56</v>
      </c>
      <c r="B1" s="254"/>
      <c r="C1" s="254"/>
      <c r="D1" s="254"/>
      <c r="E1" s="254"/>
      <c r="F1" s="254"/>
      <c r="G1" s="254"/>
      <c r="H1" s="254"/>
      <c r="I1" s="254"/>
      <c r="J1" s="254"/>
    </row>
    <row r="3" spans="1:9" ht="12.75">
      <c r="A3" s="253" t="s">
        <v>57</v>
      </c>
      <c r="B3" s="253"/>
      <c r="C3" s="253"/>
      <c r="D3" s="253"/>
      <c r="E3" s="253"/>
      <c r="F3" s="253"/>
      <c r="G3" s="253"/>
      <c r="H3" s="253"/>
      <c r="I3" s="253"/>
    </row>
    <row r="4" spans="1:9" ht="12.75">
      <c r="A4" s="253"/>
      <c r="B4" s="253"/>
      <c r="C4" s="253"/>
      <c r="D4" s="253"/>
      <c r="E4" s="253"/>
      <c r="F4" s="253"/>
      <c r="G4" s="253"/>
      <c r="H4" s="253"/>
      <c r="I4" s="253"/>
    </row>
    <row r="5" spans="1:9" ht="12.75">
      <c r="A5" s="253"/>
      <c r="B5" s="253"/>
      <c r="C5" s="253"/>
      <c r="D5" s="253"/>
      <c r="E5" s="253"/>
      <c r="F5" s="253"/>
      <c r="G5" s="253"/>
      <c r="H5" s="253"/>
      <c r="I5" s="253"/>
    </row>
    <row r="6" spans="1:9" ht="12.75">
      <c r="A6" s="253"/>
      <c r="B6" s="253"/>
      <c r="C6" s="253"/>
      <c r="D6" s="253"/>
      <c r="E6" s="253"/>
      <c r="F6" s="253"/>
      <c r="G6" s="253"/>
      <c r="H6" s="253"/>
      <c r="I6" s="253"/>
    </row>
    <row r="7" spans="1:9" ht="12.75">
      <c r="A7" s="253"/>
      <c r="B7" s="253"/>
      <c r="C7" s="253"/>
      <c r="D7" s="253"/>
      <c r="E7" s="253"/>
      <c r="F7" s="253"/>
      <c r="G7" s="253"/>
      <c r="H7" s="253"/>
      <c r="I7" s="253"/>
    </row>
    <row r="8" spans="1:9" ht="12.75">
      <c r="A8" s="253"/>
      <c r="B8" s="253"/>
      <c r="C8" s="253"/>
      <c r="D8" s="253"/>
      <c r="E8" s="253"/>
      <c r="F8" s="253"/>
      <c r="G8" s="253"/>
      <c r="H8" s="253"/>
      <c r="I8" s="253"/>
    </row>
    <row r="9" spans="1:9" ht="12.75">
      <c r="A9" s="55"/>
      <c r="B9" s="55"/>
      <c r="C9" s="55"/>
      <c r="D9" s="55"/>
      <c r="E9" s="55"/>
      <c r="F9" s="55"/>
      <c r="G9" s="55"/>
      <c r="H9" s="55"/>
      <c r="I9" s="55"/>
    </row>
    <row r="10" spans="2:9" ht="12.75">
      <c r="B10" s="55"/>
      <c r="C10" s="56" t="s">
        <v>48</v>
      </c>
      <c r="D10" s="57"/>
      <c r="F10" s="55"/>
      <c r="G10" s="55"/>
      <c r="H10" s="55"/>
      <c r="I10" s="55"/>
    </row>
    <row r="11" spans="1:9" ht="8.25" customHeight="1">
      <c r="A11" s="55"/>
      <c r="B11" s="55"/>
      <c r="C11" s="55"/>
      <c r="D11" s="55"/>
      <c r="E11" s="55"/>
      <c r="F11" s="55"/>
      <c r="G11" s="55"/>
      <c r="H11" s="55"/>
      <c r="I11" s="55"/>
    </row>
    <row r="12" spans="1:9" ht="12.75">
      <c r="A12" s="253" t="s">
        <v>49</v>
      </c>
      <c r="B12" s="253"/>
      <c r="C12" s="253"/>
      <c r="D12" s="253"/>
      <c r="E12" s="253"/>
      <c r="F12" s="253"/>
      <c r="G12" s="253"/>
      <c r="H12" s="253"/>
      <c r="I12" s="253"/>
    </row>
    <row r="13" ht="6" customHeight="1">
      <c r="A13" s="58"/>
    </row>
    <row r="14" ht="12.75">
      <c r="A14" s="59" t="s">
        <v>50</v>
      </c>
    </row>
    <row r="15" spans="1:9" ht="12.75" customHeight="1">
      <c r="A15" s="253" t="s">
        <v>214</v>
      </c>
      <c r="B15" s="253"/>
      <c r="C15" s="253"/>
      <c r="D15" s="253"/>
      <c r="E15" s="253"/>
      <c r="F15" s="253"/>
      <c r="G15" s="253"/>
      <c r="H15" s="253"/>
      <c r="I15" s="253"/>
    </row>
    <row r="16" spans="1:9" ht="12.75">
      <c r="A16" s="253"/>
      <c r="B16" s="253"/>
      <c r="C16" s="253"/>
      <c r="D16" s="253"/>
      <c r="E16" s="253"/>
      <c r="F16" s="253"/>
      <c r="G16" s="253"/>
      <c r="H16" s="253"/>
      <c r="I16" s="253"/>
    </row>
    <row r="17" spans="1:9" ht="5.25" customHeight="1">
      <c r="A17" s="55"/>
      <c r="B17" s="55"/>
      <c r="C17" s="55"/>
      <c r="D17" s="55"/>
      <c r="E17" s="55"/>
      <c r="F17" s="55"/>
      <c r="G17" s="55"/>
      <c r="H17" s="55"/>
      <c r="I17" s="55"/>
    </row>
    <row r="18" spans="1:9" ht="12.75" customHeight="1">
      <c r="A18" s="55"/>
      <c r="B18" s="56" t="s">
        <v>212</v>
      </c>
      <c r="C18" s="234"/>
      <c r="E18" s="255" t="s">
        <v>213</v>
      </c>
      <c r="F18" s="256"/>
      <c r="G18" s="235"/>
      <c r="I18" s="55"/>
    </row>
    <row r="19" spans="1:9" ht="3.75" customHeight="1">
      <c r="A19" s="55"/>
      <c r="E19" s="55"/>
      <c r="F19" s="55"/>
      <c r="G19" s="55"/>
      <c r="H19" s="55"/>
      <c r="I19" s="55"/>
    </row>
    <row r="20" spans="1:9" ht="12.75">
      <c r="A20" s="60" t="s">
        <v>51</v>
      </c>
      <c r="B20" s="55"/>
      <c r="C20" s="55"/>
      <c r="D20" s="55"/>
      <c r="E20" s="55"/>
      <c r="F20" s="55"/>
      <c r="G20" s="55"/>
      <c r="H20" s="55"/>
      <c r="I20" s="55"/>
    </row>
    <row r="21" spans="1:9" ht="12.75" customHeight="1">
      <c r="A21" s="252" t="s">
        <v>442</v>
      </c>
      <c r="B21" s="252"/>
      <c r="C21" s="252"/>
      <c r="D21" s="252"/>
      <c r="E21" s="252"/>
      <c r="F21" s="252"/>
      <c r="G21" s="252"/>
      <c r="H21" s="252"/>
      <c r="I21" s="252"/>
    </row>
    <row r="22" spans="1:9" ht="12.75">
      <c r="A22" s="252"/>
      <c r="B22" s="252"/>
      <c r="C22" s="252"/>
      <c r="D22" s="252"/>
      <c r="E22" s="252"/>
      <c r="F22" s="252"/>
      <c r="G22" s="252"/>
      <c r="H22" s="252"/>
      <c r="I22" s="252"/>
    </row>
    <row r="23" spans="1:9" ht="12.75">
      <c r="A23" s="252"/>
      <c r="B23" s="252"/>
      <c r="C23" s="252"/>
      <c r="D23" s="252"/>
      <c r="E23" s="252"/>
      <c r="F23" s="252"/>
      <c r="G23" s="252"/>
      <c r="H23" s="252"/>
      <c r="I23" s="252"/>
    </row>
    <row r="24" spans="1:9" ht="12.75" customHeight="1">
      <c r="A24" s="252" t="s">
        <v>52</v>
      </c>
      <c r="B24" s="252"/>
      <c r="C24" s="252"/>
      <c r="D24" s="252"/>
      <c r="E24" s="252"/>
      <c r="F24" s="252"/>
      <c r="G24" s="252"/>
      <c r="H24" s="252"/>
      <c r="I24" s="252"/>
    </row>
    <row r="25" spans="1:9" ht="12.75">
      <c r="A25" s="252"/>
      <c r="B25" s="252"/>
      <c r="C25" s="252"/>
      <c r="D25" s="252"/>
      <c r="E25" s="252"/>
      <c r="F25" s="252"/>
      <c r="G25" s="252"/>
      <c r="H25" s="252"/>
      <c r="I25" s="252"/>
    </row>
    <row r="26" spans="1:9" ht="12.75">
      <c r="A26" s="61"/>
      <c r="B26" s="61"/>
      <c r="C26" s="61"/>
      <c r="D26" s="61"/>
      <c r="E26" s="61"/>
      <c r="F26" s="61"/>
      <c r="G26" s="61"/>
      <c r="H26" s="61"/>
      <c r="I26" s="61"/>
    </row>
    <row r="27" spans="1:9" ht="12.75" customHeight="1">
      <c r="A27" s="62" t="s">
        <v>53</v>
      </c>
      <c r="B27" s="61"/>
      <c r="C27" s="61"/>
      <c r="D27" s="61"/>
      <c r="E27" s="61"/>
      <c r="F27" s="61"/>
      <c r="G27" s="61"/>
      <c r="H27" s="61"/>
      <c r="I27" s="61"/>
    </row>
    <row r="28" spans="1:9" ht="12.75">
      <c r="A28" s="63" t="s">
        <v>54</v>
      </c>
      <c r="B28" s="61"/>
      <c r="C28" s="61"/>
      <c r="D28" s="61"/>
      <c r="E28" s="61"/>
      <c r="F28" s="61"/>
      <c r="G28" s="61"/>
      <c r="H28" s="61"/>
      <c r="I28" s="61"/>
    </row>
    <row r="29" spans="1:9" ht="12.75">
      <c r="A29" s="61"/>
      <c r="B29" s="61"/>
      <c r="C29" s="61"/>
      <c r="D29" s="61"/>
      <c r="E29" s="61"/>
      <c r="F29" s="61"/>
      <c r="G29" s="61"/>
      <c r="H29" s="61"/>
      <c r="I29" s="61"/>
    </row>
    <row r="30" spans="1:9" ht="12.75">
      <c r="A30" s="64" t="s">
        <v>55</v>
      </c>
      <c r="B30" s="61"/>
      <c r="C30" s="61"/>
      <c r="D30" s="61"/>
      <c r="E30" s="61"/>
      <c r="F30" s="61"/>
      <c r="G30" s="61"/>
      <c r="H30" s="61"/>
      <c r="I30" s="61"/>
    </row>
    <row r="31" ht="12.75">
      <c r="A31" t="s">
        <v>532</v>
      </c>
    </row>
    <row r="32" ht="12.75">
      <c r="A32" t="s">
        <v>150</v>
      </c>
    </row>
  </sheetData>
  <sheetProtection password="C582" sheet="1" objects="1" scenarios="1"/>
  <mergeCells count="7">
    <mergeCell ref="A21:I23"/>
    <mergeCell ref="A24:I25"/>
    <mergeCell ref="A3:I8"/>
    <mergeCell ref="A1:J1"/>
    <mergeCell ref="A12:I12"/>
    <mergeCell ref="A15:I16"/>
    <mergeCell ref="E18:F18"/>
  </mergeCells>
  <hyperlinks>
    <hyperlink ref="A28" r:id="rId1" display="j.pastrana@onsemi.com"/>
  </hyperlinks>
  <printOptions/>
  <pageMargins left="0.75" right="0.75" top="1" bottom="1" header="0.5" footer="0.5"/>
  <pageSetup horizontalDpi="600" verticalDpi="600" orientation="portrait" paperSize="159" r:id="rId5"/>
  <headerFooter alignWithMargins="0">
    <oddHeader>&amp;C&amp;"Arial,Bold"&amp;12NCP1562 Design Tool</oddHeader>
    <oddFooter>&amp;L&amp;A&amp;C&amp;"Arial,Bold"&amp;12Provided by ON Semiconductor&amp;R&amp;D</oddFooter>
  </headerFooter>
  <drawing r:id="rId4"/>
  <legacyDrawing r:id="rId3"/>
</worksheet>
</file>

<file path=xl/worksheets/sheet10.xml><?xml version="1.0" encoding="utf-8"?>
<worksheet xmlns="http://schemas.openxmlformats.org/spreadsheetml/2006/main" xmlns:r="http://schemas.openxmlformats.org/officeDocument/2006/relationships">
  <sheetPr codeName="Sheet7">
    <pageSetUpPr fitToPage="1"/>
  </sheetPr>
  <dimension ref="A1:U35"/>
  <sheetViews>
    <sheetView showGridLines="0" workbookViewId="0" topLeftCell="A1">
      <selection activeCell="B29" sqref="B29"/>
    </sheetView>
  </sheetViews>
  <sheetFormatPr defaultColWidth="9.140625" defaultRowHeight="12.75"/>
  <cols>
    <col min="1" max="1" width="14.28125" style="0" customWidth="1"/>
    <col min="2" max="2" width="8.7109375" style="0" customWidth="1"/>
    <col min="3" max="3" width="4.28125" style="0" bestFit="1" customWidth="1"/>
    <col min="4" max="4" width="2.140625" style="0" customWidth="1"/>
    <col min="5" max="5" width="8.00390625" style="0" bestFit="1" customWidth="1"/>
    <col min="6" max="6" width="6.8515625" style="0" customWidth="1"/>
    <col min="7" max="7" width="4.28125" style="0" bestFit="1" customWidth="1"/>
    <col min="8" max="8" width="2.7109375" style="0" customWidth="1"/>
    <col min="9" max="9" width="5.28125" style="0" customWidth="1"/>
    <col min="10" max="10" width="8.7109375" style="0" bestFit="1" customWidth="1"/>
    <col min="11" max="11" width="3.421875" style="0" bestFit="1" customWidth="1"/>
    <col min="12" max="13" width="2.7109375" style="0" customWidth="1"/>
    <col min="14" max="14" width="4.8515625" style="0" bestFit="1" customWidth="1"/>
    <col min="15" max="15" width="7.57421875" style="0" bestFit="1" customWidth="1"/>
    <col min="16" max="16" width="4.28125" style="0" bestFit="1" customWidth="1"/>
    <col min="17" max="17" width="15.7109375" style="0" customWidth="1"/>
    <col min="18" max="18" width="4.140625" style="0" customWidth="1"/>
    <col min="19" max="19" width="6.8515625" style="0" bestFit="1" customWidth="1"/>
    <col min="20" max="20" width="5.8515625" style="0" customWidth="1"/>
    <col min="21" max="16384" width="15.7109375" style="0" customWidth="1"/>
  </cols>
  <sheetData>
    <row r="1" spans="1:20" ht="18">
      <c r="A1" s="259" t="s">
        <v>393</v>
      </c>
      <c r="B1" s="259"/>
      <c r="C1" s="259"/>
      <c r="D1" s="259"/>
      <c r="E1" s="259"/>
      <c r="F1" s="259"/>
      <c r="G1" s="259"/>
      <c r="H1" s="259"/>
      <c r="I1" s="259"/>
      <c r="J1" s="259"/>
      <c r="K1" s="259"/>
      <c r="L1" s="259"/>
      <c r="M1" s="259"/>
      <c r="N1" s="259"/>
      <c r="O1" s="259"/>
      <c r="P1" s="259"/>
      <c r="Q1" s="259"/>
      <c r="R1" s="259"/>
      <c r="S1" s="259"/>
      <c r="T1" s="259"/>
    </row>
    <row r="2" ht="6" customHeight="1"/>
    <row r="3" spans="1:21" ht="12.75">
      <c r="A3" s="267" t="s">
        <v>19</v>
      </c>
      <c r="B3" s="267"/>
      <c r="C3" s="148"/>
      <c r="E3" s="272" t="s">
        <v>19</v>
      </c>
      <c r="F3" s="272"/>
      <c r="G3" s="272"/>
      <c r="I3" s="154" t="s">
        <v>281</v>
      </c>
      <c r="J3" s="154"/>
      <c r="R3" s="152" t="s">
        <v>282</v>
      </c>
      <c r="S3" s="152"/>
      <c r="T3" s="152"/>
      <c r="U3" s="65"/>
    </row>
    <row r="4" spans="1:20" ht="15.75">
      <c r="A4" s="3" t="s">
        <v>264</v>
      </c>
      <c r="B4" s="211">
        <v>3.01</v>
      </c>
      <c r="C4" s="28" t="s">
        <v>199</v>
      </c>
      <c r="E4" s="3" t="s">
        <v>270</v>
      </c>
      <c r="F4" s="208">
        <f>1/(2*PI()*SQRT(Lout*Cout*0.000000000001))/1000</f>
        <v>5.571537427154808</v>
      </c>
      <c r="G4" s="3" t="s">
        <v>1</v>
      </c>
      <c r="I4" s="3" t="s">
        <v>258</v>
      </c>
      <c r="J4" s="214">
        <v>16.2</v>
      </c>
      <c r="K4" s="27" t="s">
        <v>199</v>
      </c>
      <c r="R4" s="3" t="s">
        <v>266</v>
      </c>
      <c r="S4" s="208">
        <v>0</v>
      </c>
      <c r="T4" s="3" t="s">
        <v>1</v>
      </c>
    </row>
    <row r="5" spans="1:20" ht="15.75">
      <c r="A5" s="3" t="s">
        <v>284</v>
      </c>
      <c r="B5" s="211">
        <v>0.22</v>
      </c>
      <c r="C5" s="151" t="s">
        <v>204</v>
      </c>
      <c r="E5" s="3" t="s">
        <v>279</v>
      </c>
      <c r="F5" s="208">
        <f>1/(2*PI()*Cout*0.000001*B6)/1000</f>
        <v>292.56423362480757</v>
      </c>
      <c r="G5" s="3" t="s">
        <v>1</v>
      </c>
      <c r="I5" s="3" t="s">
        <v>259</v>
      </c>
      <c r="J5" s="214">
        <v>5.9</v>
      </c>
      <c r="K5" s="27" t="s">
        <v>199</v>
      </c>
      <c r="R5" s="3" t="s">
        <v>267</v>
      </c>
      <c r="S5" s="208">
        <f>1/(2*PI()*J7*(J4*1000*J6)/(J4*1000+J6))*1000000000</f>
        <v>467.1661696971556</v>
      </c>
      <c r="T5" s="3" t="s">
        <v>1</v>
      </c>
    </row>
    <row r="6" spans="1:20" ht="15.75">
      <c r="A6" s="3" t="s">
        <v>283</v>
      </c>
      <c r="B6" s="211">
        <v>0.001</v>
      </c>
      <c r="C6" s="151" t="s">
        <v>204</v>
      </c>
      <c r="E6" s="3" t="s">
        <v>285</v>
      </c>
      <c r="F6" s="208">
        <f>20*LOG(B4*1000*B8/100/B9,10)</f>
        <v>18.739745032945248</v>
      </c>
      <c r="G6" s="3" t="s">
        <v>286</v>
      </c>
      <c r="I6" s="3" t="s">
        <v>260</v>
      </c>
      <c r="J6" s="214">
        <v>348</v>
      </c>
      <c r="K6" s="21" t="s">
        <v>204</v>
      </c>
      <c r="R6" s="3" t="s">
        <v>268</v>
      </c>
      <c r="S6" s="208">
        <f>1/(2*PI()*J7*0.000000000001*J4*1000)/1000</f>
        <v>9.824379203203417</v>
      </c>
      <c r="T6" s="3" t="s">
        <v>1</v>
      </c>
    </row>
    <row r="7" spans="1:20" ht="15.75">
      <c r="A7" s="3" t="s">
        <v>278</v>
      </c>
      <c r="B7" s="212">
        <v>45</v>
      </c>
      <c r="C7" s="40" t="s">
        <v>1</v>
      </c>
      <c r="E7" s="3" t="s">
        <v>287</v>
      </c>
      <c r="F7" s="209">
        <f>20*LOG(Rff*f*Cff*0.000001/(NpNs1/Ns),10)</f>
        <v>1.8630617342746318</v>
      </c>
      <c r="G7" s="3" t="s">
        <v>286</v>
      </c>
      <c r="I7" s="3" t="s">
        <v>261</v>
      </c>
      <c r="J7" s="212">
        <v>1000</v>
      </c>
      <c r="K7" s="3" t="s">
        <v>75</v>
      </c>
      <c r="R7" s="3" t="s">
        <v>269</v>
      </c>
      <c r="S7" s="208">
        <f>1/(2*PI()*J8*0.000000001*J5*1000)/1000000</f>
        <v>0.4817038229173587</v>
      </c>
      <c r="T7" s="3" t="s">
        <v>1</v>
      </c>
    </row>
    <row r="8" spans="1:11" ht="15.75">
      <c r="A8" s="3" t="s">
        <v>277</v>
      </c>
      <c r="B8" s="212">
        <v>100</v>
      </c>
      <c r="C8" s="40" t="s">
        <v>32</v>
      </c>
      <c r="E8" s="3" t="s">
        <v>288</v>
      </c>
      <c r="F8" s="208">
        <f>(1-DCmax)/(2*PI()*SQRT((Lmag*0.000001+NpNs1^2*Lout*0.000001)*Cclamp*0.000000001))/1000</f>
        <v>41.10999418101431</v>
      </c>
      <c r="G8" s="113" t="s">
        <v>1</v>
      </c>
      <c r="I8" s="3" t="s">
        <v>262</v>
      </c>
      <c r="J8" s="215">
        <v>0.056</v>
      </c>
      <c r="K8" s="21" t="s">
        <v>263</v>
      </c>
    </row>
    <row r="9" spans="1:20" ht="15.75">
      <c r="A9" s="3" t="s">
        <v>276</v>
      </c>
      <c r="B9" s="212">
        <v>348</v>
      </c>
      <c r="C9" s="151" t="s">
        <v>204</v>
      </c>
      <c r="E9" s="3" t="s">
        <v>514</v>
      </c>
      <c r="F9" s="208">
        <f>(1-DCmin)/(2*PI()*SQRT((Lmag*0.000001+NpNs1^2*Lout*0.000001)*Cclamp*0.000000001))/1000</f>
        <v>80.30193048645557</v>
      </c>
      <c r="G9" s="113" t="s">
        <v>1</v>
      </c>
      <c r="R9" s="284"/>
      <c r="S9" s="284"/>
      <c r="T9" s="284"/>
    </row>
    <row r="10" spans="1:18" ht="12.75">
      <c r="A10" s="155"/>
      <c r="R10" s="179"/>
    </row>
    <row r="12" spans="1:2" ht="12.75">
      <c r="A12" s="267" t="s">
        <v>18</v>
      </c>
      <c r="B12" s="267"/>
    </row>
    <row r="13" spans="1:3" ht="12.75">
      <c r="A13" s="24" t="s">
        <v>274</v>
      </c>
      <c r="B13" s="213">
        <v>10</v>
      </c>
      <c r="C13" s="3" t="s">
        <v>265</v>
      </c>
    </row>
    <row r="14" spans="1:3" ht="12.75">
      <c r="A14" s="24" t="s">
        <v>275</v>
      </c>
      <c r="B14" s="213">
        <v>100000</v>
      </c>
      <c r="C14" s="3" t="s">
        <v>265</v>
      </c>
    </row>
    <row r="22" ht="12.75">
      <c r="A22" s="34"/>
    </row>
    <row r="24" spans="1:3" ht="12.75">
      <c r="A24" s="267" t="s">
        <v>280</v>
      </c>
      <c r="B24" s="267"/>
      <c r="C24" s="267"/>
    </row>
    <row r="25" spans="1:3" ht="15.75">
      <c r="A25" s="3" t="s">
        <v>272</v>
      </c>
      <c r="B25" s="210">
        <v>15.264179671752302</v>
      </c>
      <c r="C25" s="3" t="s">
        <v>1</v>
      </c>
    </row>
    <row r="26" spans="1:3" ht="12.75">
      <c r="A26" s="21" t="s">
        <v>273</v>
      </c>
      <c r="B26" s="210">
        <v>43.96641148259286</v>
      </c>
      <c r="C26" s="21" t="s">
        <v>271</v>
      </c>
    </row>
    <row r="29" ht="12.75">
      <c r="A29" s="34"/>
    </row>
    <row r="32" ht="12.75">
      <c r="C32" s="148"/>
    </row>
    <row r="35" spans="1:3" ht="12.75">
      <c r="A35" s="14"/>
      <c r="B35" s="35"/>
      <c r="C35" s="35"/>
    </row>
  </sheetData>
  <sheetProtection password="C582" sheet="1" scenarios="1"/>
  <mergeCells count="6">
    <mergeCell ref="A1:T1"/>
    <mergeCell ref="A24:C24"/>
    <mergeCell ref="A12:B12"/>
    <mergeCell ref="A3:B3"/>
    <mergeCell ref="E3:G3"/>
    <mergeCell ref="R9:T9"/>
  </mergeCells>
  <printOptions/>
  <pageMargins left="0.75" right="0.75" top="1" bottom="1" header="0.5" footer="0.5"/>
  <pageSetup fitToHeight="1" fitToWidth="1" horizontalDpi="600" verticalDpi="600" orientation="landscape" paperSize="159" scale="86" r:id="rId4"/>
  <headerFooter alignWithMargins="0">
    <oddHeader>&amp;C&amp;"Arial,Bold"&amp;12NCP1562 Design Tool</oddHeader>
    <oddFooter>&amp;L&amp;A&amp;C&amp;"Arial,Bold"&amp;12Provided by ON Semiconductor&amp;R&amp;D</oddFooter>
  </headerFooter>
  <drawing r:id="rId3"/>
  <legacyDrawing r:id="rId2"/>
</worksheet>
</file>

<file path=xl/worksheets/sheet11.xml><?xml version="1.0" encoding="utf-8"?>
<worksheet xmlns="http://schemas.openxmlformats.org/spreadsheetml/2006/main" xmlns:r="http://schemas.openxmlformats.org/officeDocument/2006/relationships">
  <sheetPr codeName="Sheet9"/>
  <dimension ref="A1:K97"/>
  <sheetViews>
    <sheetView showGridLines="0" zoomScale="85" zoomScaleNormal="85" workbookViewId="0" topLeftCell="A1">
      <selection activeCell="H12" sqref="H12"/>
    </sheetView>
  </sheetViews>
  <sheetFormatPr defaultColWidth="9.140625" defaultRowHeight="12.75"/>
  <cols>
    <col min="1" max="1" width="11.28125" style="1" bestFit="1" customWidth="1"/>
    <col min="2" max="2" width="11.57421875" style="1" bestFit="1" customWidth="1"/>
    <col min="3" max="3" width="12.421875" style="1" bestFit="1" customWidth="1"/>
    <col min="4" max="4" width="16.8515625" style="1" bestFit="1" customWidth="1"/>
    <col min="5" max="5" width="35.8515625" style="1" customWidth="1"/>
    <col min="6" max="6" width="40.421875" style="1" customWidth="1"/>
    <col min="7" max="16384" width="9.140625" style="1" customWidth="1"/>
  </cols>
  <sheetData>
    <row r="1" spans="1:11" ht="18">
      <c r="A1" s="259" t="s">
        <v>289</v>
      </c>
      <c r="B1" s="259"/>
      <c r="C1" s="259"/>
      <c r="D1" s="259"/>
      <c r="E1" s="259"/>
      <c r="F1" s="259"/>
      <c r="G1" s="259"/>
      <c r="H1" s="50"/>
      <c r="I1" s="50"/>
      <c r="J1" s="50"/>
      <c r="K1" s="50"/>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spans="1:6" s="37" customFormat="1" ht="12.75">
      <c r="A35" s="66" t="s">
        <v>294</v>
      </c>
      <c r="B35" s="66" t="s">
        <v>206</v>
      </c>
      <c r="C35" s="66" t="s">
        <v>291</v>
      </c>
      <c r="D35" s="66" t="s">
        <v>292</v>
      </c>
      <c r="E35" s="66" t="s">
        <v>293</v>
      </c>
      <c r="F35" s="66" t="s">
        <v>367</v>
      </c>
    </row>
    <row r="36" spans="1:6" ht="12.75">
      <c r="A36" s="156" t="s">
        <v>290</v>
      </c>
      <c r="B36" s="180">
        <f>Step3!D7</f>
        <v>8.8</v>
      </c>
      <c r="C36" s="181"/>
      <c r="D36" s="181"/>
      <c r="E36" s="181" t="str">
        <f>CONCATENATE("Minimum Voltage rating is ",Vinmax," V")</f>
        <v>Minimum Voltage rating is 76 V</v>
      </c>
      <c r="F36" s="211"/>
    </row>
    <row r="37" spans="1:6" ht="12.75">
      <c r="A37" s="156" t="s">
        <v>295</v>
      </c>
      <c r="B37" s="182">
        <f>Step7!H26</f>
        <v>300</v>
      </c>
      <c r="C37" s="181"/>
      <c r="D37" s="181"/>
      <c r="E37" s="181"/>
      <c r="F37" s="211"/>
    </row>
    <row r="38" spans="1:6" ht="12.75">
      <c r="A38" s="156" t="s">
        <v>296</v>
      </c>
      <c r="B38" s="181" t="s">
        <v>357</v>
      </c>
      <c r="C38" s="181"/>
      <c r="D38" s="181"/>
      <c r="E38" s="181"/>
      <c r="F38" s="211"/>
    </row>
    <row r="39" spans="1:6" ht="12.75">
      <c r="A39" s="156" t="s">
        <v>297</v>
      </c>
      <c r="B39" s="182">
        <f>Cff</f>
        <v>470</v>
      </c>
      <c r="C39" s="181"/>
      <c r="D39" s="181"/>
      <c r="E39" s="181"/>
      <c r="F39" s="211"/>
    </row>
    <row r="40" spans="1:6" ht="12.75">
      <c r="A40" s="156" t="s">
        <v>298</v>
      </c>
      <c r="B40" s="181" t="s">
        <v>358</v>
      </c>
      <c r="C40" s="181"/>
      <c r="D40" s="181"/>
      <c r="E40" s="181" t="str">
        <f>CONCATENATE("Minimum Voltage rating is ",Vinmax," V")</f>
        <v>Minimum Voltage rating is 76 V</v>
      </c>
      <c r="F40" s="211"/>
    </row>
    <row r="41" spans="1:6" ht="12.75">
      <c r="A41" s="156" t="s">
        <v>299</v>
      </c>
      <c r="B41" s="181" t="s">
        <v>372</v>
      </c>
      <c r="C41" s="181"/>
      <c r="D41" s="181"/>
      <c r="E41" s="181" t="str">
        <f>CONCATENATE("Minimum Voltage rating is ",ROUND(Step8!E8,2)," V")</f>
        <v>Minimum Voltage rating is 12 V</v>
      </c>
      <c r="F41" s="211"/>
    </row>
    <row r="42" spans="1:6" ht="12.75">
      <c r="A42" s="156" t="s">
        <v>300</v>
      </c>
      <c r="B42" s="182">
        <f>Step8!K16</f>
        <v>0.068</v>
      </c>
      <c r="C42" s="181"/>
      <c r="D42" s="181"/>
      <c r="E42" s="181"/>
      <c r="F42" s="211"/>
    </row>
    <row r="43" spans="1:6" ht="12.75">
      <c r="A43" s="156" t="s">
        <v>301</v>
      </c>
      <c r="B43" s="181" t="s">
        <v>358</v>
      </c>
      <c r="C43" s="181"/>
      <c r="D43" s="181"/>
      <c r="E43" s="181"/>
      <c r="F43" s="211"/>
    </row>
    <row r="44" spans="1:6" ht="12.75">
      <c r="A44" s="156" t="s">
        <v>302</v>
      </c>
      <c r="B44" s="183">
        <f>Step8!K8</f>
        <v>3264</v>
      </c>
      <c r="C44" s="181"/>
      <c r="D44" s="181"/>
      <c r="E44" s="181"/>
      <c r="F44" s="211"/>
    </row>
    <row r="45" spans="1:6" ht="12.75">
      <c r="A45" s="156" t="s">
        <v>303</v>
      </c>
      <c r="B45" s="181"/>
      <c r="C45" s="181"/>
      <c r="D45" s="181"/>
      <c r="E45" s="181" t="s">
        <v>419</v>
      </c>
      <c r="F45" s="211"/>
    </row>
    <row r="46" spans="1:6" ht="12.75">
      <c r="A46" s="156" t="s">
        <v>304</v>
      </c>
      <c r="B46" s="181" t="str">
        <f>CONCATENATE("&gt; ",ROUND(Data3!B108,3),"  uF")</f>
        <v>&gt; 0.008  uF</v>
      </c>
      <c r="C46" s="181"/>
      <c r="D46" s="181"/>
      <c r="E46" s="181"/>
      <c r="F46" s="211"/>
    </row>
    <row r="47" spans="1:6" ht="12.75">
      <c r="A47" s="156" t="s">
        <v>305</v>
      </c>
      <c r="B47" s="184">
        <f>Cclamp/1000</f>
        <v>0.012</v>
      </c>
      <c r="C47" s="181"/>
      <c r="D47" s="181"/>
      <c r="E47" s="181" t="str">
        <f>CONCATENATE("Minimum Voltage rating is ",ROUND(Step1!B25,2)," V")</f>
        <v>Minimum Voltage rating is 104.42 V</v>
      </c>
      <c r="F47" s="211"/>
    </row>
    <row r="48" spans="1:6" ht="12.75">
      <c r="A48" s="156" t="s">
        <v>306</v>
      </c>
      <c r="B48" s="181"/>
      <c r="C48" s="181"/>
      <c r="D48" s="181"/>
      <c r="E48" s="181" t="s">
        <v>373</v>
      </c>
      <c r="F48" s="211"/>
    </row>
    <row r="49" spans="1:6" ht="12.75">
      <c r="A49" s="156" t="s">
        <v>307</v>
      </c>
      <c r="B49" s="185">
        <f>Cout</f>
        <v>544</v>
      </c>
      <c r="C49" s="181"/>
      <c r="D49" s="181"/>
      <c r="E49" s="181" t="str">
        <f>CONCATENATE("Minimum Voltage rating is ",Vout1," V")</f>
        <v>Minimum Voltage rating is 3.3 V</v>
      </c>
      <c r="F49" s="211"/>
    </row>
    <row r="50" spans="1:6" ht="12.75">
      <c r="A50" s="156" t="s">
        <v>308</v>
      </c>
      <c r="B50" s="184">
        <f>Step9!J8</f>
        <v>0.056</v>
      </c>
      <c r="C50" s="181"/>
      <c r="D50" s="181"/>
      <c r="E50" s="181"/>
      <c r="F50" s="211"/>
    </row>
    <row r="51" spans="1:6" ht="12.75">
      <c r="A51" s="156" t="s">
        <v>309</v>
      </c>
      <c r="B51" s="182">
        <f>Step9!J7</f>
        <v>1000</v>
      </c>
      <c r="C51" s="181"/>
      <c r="D51" s="181"/>
      <c r="E51" s="181"/>
      <c r="F51" s="211"/>
    </row>
    <row r="52" spans="1:6" ht="25.5">
      <c r="A52" s="156" t="s">
        <v>310</v>
      </c>
      <c r="B52" s="181" t="s">
        <v>358</v>
      </c>
      <c r="C52" s="181"/>
      <c r="D52" s="181"/>
      <c r="E52" s="181" t="str">
        <f>CONCATENATE("Minimum Voltage rating is ",Step4!B17," V")</f>
        <v>Minimum Voltage rating is 12.6666666666667 V</v>
      </c>
      <c r="F52" s="211"/>
    </row>
    <row r="53" spans="1:6" ht="12.75">
      <c r="A53" s="156" t="s">
        <v>311</v>
      </c>
      <c r="B53" s="181"/>
      <c r="C53" s="181"/>
      <c r="D53" s="181"/>
      <c r="E53" s="181" t="s">
        <v>374</v>
      </c>
      <c r="F53" s="211"/>
    </row>
    <row r="54" spans="1:6" ht="25.5">
      <c r="A54" s="156" t="s">
        <v>496</v>
      </c>
      <c r="B54" s="180">
        <f>2*Step8!K11/BOM!B85</f>
        <v>2.5</v>
      </c>
      <c r="C54" s="181"/>
      <c r="D54" s="181"/>
      <c r="E54" s="181" t="s">
        <v>497</v>
      </c>
      <c r="F54" s="211"/>
    </row>
    <row r="55" spans="1:6" ht="12.75">
      <c r="A55" s="156" t="s">
        <v>346</v>
      </c>
      <c r="B55" s="181" t="str">
        <f>CONCATENATE(Step3!D9," uH")</f>
        <v>1.5 uH</v>
      </c>
      <c r="C55" s="181"/>
      <c r="D55" s="181"/>
      <c r="E55" s="181"/>
      <c r="F55" s="211"/>
    </row>
    <row r="56" spans="1:6" ht="12.75">
      <c r="A56" s="156" t="s">
        <v>347</v>
      </c>
      <c r="B56" s="181" t="str">
        <f>CONCATENATE(Lout," uH")</f>
        <v>1.5 uH</v>
      </c>
      <c r="C56" s="181"/>
      <c r="D56" s="181"/>
      <c r="E56" s="181"/>
      <c r="F56" s="211"/>
    </row>
    <row r="57" spans="1:6" ht="12.75">
      <c r="A57" s="156" t="s">
        <v>348</v>
      </c>
      <c r="B57" s="181" t="str">
        <f>CONCATENATE(Step8!E16," uH")</f>
        <v>1000 uH</v>
      </c>
      <c r="C57" s="181"/>
      <c r="D57" s="181"/>
      <c r="E57" s="181"/>
      <c r="F57" s="211"/>
    </row>
    <row r="58" spans="1:6" ht="12.75">
      <c r="A58" s="156" t="s">
        <v>312</v>
      </c>
      <c r="B58" s="186">
        <f>Ruvov1</f>
        <v>523</v>
      </c>
      <c r="C58" s="181"/>
      <c r="D58" s="181"/>
      <c r="E58" s="181"/>
      <c r="F58" s="211"/>
    </row>
    <row r="59" spans="1:6" ht="12.75">
      <c r="A59" s="156" t="s">
        <v>313</v>
      </c>
      <c r="B59" s="186">
        <f>Ruvov2</f>
        <v>32.4</v>
      </c>
      <c r="C59" s="181"/>
      <c r="D59" s="181"/>
      <c r="E59" s="181"/>
      <c r="F59" s="211"/>
    </row>
    <row r="60" spans="1:6" ht="12.75">
      <c r="A60" s="156" t="s">
        <v>314</v>
      </c>
      <c r="B60" s="186">
        <f>Rff</f>
        <v>45.2</v>
      </c>
      <c r="C60" s="181"/>
      <c r="D60" s="181"/>
      <c r="E60" s="181"/>
      <c r="F60" s="211"/>
    </row>
    <row r="61" spans="1:6" ht="12.75">
      <c r="A61" s="3" t="s">
        <v>418</v>
      </c>
      <c r="B61" s="187">
        <f>Step7!H25</f>
        <v>15</v>
      </c>
      <c r="C61" s="188"/>
      <c r="D61" s="188"/>
      <c r="E61" s="188"/>
      <c r="F61" s="211"/>
    </row>
    <row r="62" spans="1:6" ht="12.75">
      <c r="A62" s="156" t="s">
        <v>315</v>
      </c>
      <c r="B62" s="181" t="s">
        <v>363</v>
      </c>
      <c r="C62" s="181"/>
      <c r="D62" s="181"/>
      <c r="E62" s="181"/>
      <c r="F62" s="211"/>
    </row>
    <row r="63" spans="1:6" ht="12.75">
      <c r="A63" s="156" t="s">
        <v>316</v>
      </c>
      <c r="B63" s="181" t="s">
        <v>360</v>
      </c>
      <c r="C63" s="181"/>
      <c r="D63" s="181"/>
      <c r="E63" s="181"/>
      <c r="F63" s="211"/>
    </row>
    <row r="64" spans="1:6" ht="12.75">
      <c r="A64" s="156" t="s">
        <v>317</v>
      </c>
      <c r="B64" s="181" t="s">
        <v>361</v>
      </c>
      <c r="C64" s="181"/>
      <c r="D64" s="181"/>
      <c r="E64" s="181"/>
      <c r="F64" s="211"/>
    </row>
    <row r="65" spans="1:6" ht="12.75">
      <c r="A65" s="156" t="s">
        <v>318</v>
      </c>
      <c r="B65" s="189">
        <f>Step9!B4</f>
        <v>3.01</v>
      </c>
      <c r="C65" s="181"/>
      <c r="D65" s="181"/>
      <c r="E65" s="181"/>
      <c r="F65" s="211"/>
    </row>
    <row r="66" spans="1:6" ht="12.75">
      <c r="A66" s="158" t="s">
        <v>319</v>
      </c>
      <c r="B66" s="181"/>
      <c r="C66" s="181"/>
      <c r="D66" s="181"/>
      <c r="E66" s="190" t="s">
        <v>498</v>
      </c>
      <c r="F66" s="211"/>
    </row>
    <row r="67" spans="1:6" ht="12.75">
      <c r="A67" s="156" t="s">
        <v>320</v>
      </c>
      <c r="B67" s="181"/>
      <c r="C67" s="181"/>
      <c r="D67" s="181"/>
      <c r="E67" s="181" t="s">
        <v>384</v>
      </c>
      <c r="F67" s="211"/>
    </row>
    <row r="68" spans="1:6" ht="12.75">
      <c r="A68" s="156" t="s">
        <v>321</v>
      </c>
      <c r="B68" s="181"/>
      <c r="C68" s="181"/>
      <c r="D68" s="181"/>
      <c r="E68" s="181" t="s">
        <v>375</v>
      </c>
      <c r="F68" s="211"/>
    </row>
    <row r="69" spans="1:6" ht="12.75">
      <c r="A69" s="156" t="s">
        <v>322</v>
      </c>
      <c r="B69" s="181" t="s">
        <v>362</v>
      </c>
      <c r="C69" s="181"/>
      <c r="D69" s="181"/>
      <c r="E69" s="181"/>
      <c r="F69" s="211"/>
    </row>
    <row r="70" spans="1:6" ht="12.75">
      <c r="A70" s="156" t="s">
        <v>323</v>
      </c>
      <c r="B70" s="181" t="str">
        <f>CONCATENATE(ROUND(Step6!E30,2)," m")</f>
        <v>85.15 m</v>
      </c>
      <c r="C70" s="181"/>
      <c r="D70" s="181"/>
      <c r="E70" s="181"/>
      <c r="F70" s="211"/>
    </row>
    <row r="71" spans="1:6" ht="12.75">
      <c r="A71" s="156" t="s">
        <v>324</v>
      </c>
      <c r="B71" s="186">
        <f>Data3!B110</f>
        <v>10</v>
      </c>
      <c r="C71" s="181"/>
      <c r="D71" s="181"/>
      <c r="E71" s="181"/>
      <c r="F71" s="211"/>
    </row>
    <row r="72" spans="1:6" ht="12.75">
      <c r="A72" s="156" t="s">
        <v>325</v>
      </c>
      <c r="B72" s="181"/>
      <c r="C72" s="181"/>
      <c r="D72" s="181"/>
      <c r="E72" s="181" t="s">
        <v>375</v>
      </c>
      <c r="F72" s="211"/>
    </row>
    <row r="73" spans="1:6" ht="12.75">
      <c r="A73" s="156" t="s">
        <v>326</v>
      </c>
      <c r="B73" s="181"/>
      <c r="C73" s="181"/>
      <c r="D73" s="181"/>
      <c r="E73" s="181" t="s">
        <v>375</v>
      </c>
      <c r="F73" s="211"/>
    </row>
    <row r="74" spans="1:6" ht="12.75">
      <c r="A74" s="156" t="s">
        <v>327</v>
      </c>
      <c r="B74" s="181" t="s">
        <v>362</v>
      </c>
      <c r="C74" s="181"/>
      <c r="D74" s="181"/>
      <c r="E74" s="181"/>
      <c r="F74" s="211"/>
    </row>
    <row r="75" spans="1:6" ht="12.75">
      <c r="A75" s="156" t="s">
        <v>328</v>
      </c>
      <c r="B75" s="181" t="s">
        <v>362</v>
      </c>
      <c r="C75" s="181"/>
      <c r="D75" s="181"/>
      <c r="E75" s="181"/>
      <c r="F75" s="211"/>
    </row>
    <row r="76" spans="1:6" ht="12.75">
      <c r="A76" s="156" t="s">
        <v>329</v>
      </c>
      <c r="B76" s="191">
        <f>Step9!J6</f>
        <v>348</v>
      </c>
      <c r="C76" s="181"/>
      <c r="D76" s="181"/>
      <c r="E76" s="181"/>
      <c r="F76" s="211"/>
    </row>
    <row r="77" spans="1:6" ht="12.75">
      <c r="A77" s="156" t="s">
        <v>330</v>
      </c>
      <c r="B77" s="189">
        <f>Step9!J4</f>
        <v>16.2</v>
      </c>
      <c r="C77" s="181"/>
      <c r="D77" s="181"/>
      <c r="E77" s="181"/>
      <c r="F77" s="211"/>
    </row>
    <row r="78" spans="1:6" ht="12.75">
      <c r="A78" s="156" t="s">
        <v>331</v>
      </c>
      <c r="B78" s="189">
        <f>Data3!B101</f>
        <v>9.960932038834953</v>
      </c>
      <c r="C78" s="181"/>
      <c r="D78" s="181"/>
      <c r="E78" s="181"/>
      <c r="F78" s="211"/>
    </row>
    <row r="79" spans="1:6" ht="12.75">
      <c r="A79" s="156" t="s">
        <v>332</v>
      </c>
      <c r="B79" s="189">
        <f>Step9!J5</f>
        <v>5.9</v>
      </c>
      <c r="C79" s="181"/>
      <c r="D79" s="181"/>
      <c r="E79" s="181"/>
      <c r="F79" s="211"/>
    </row>
    <row r="80" spans="1:6" ht="12.75">
      <c r="A80" s="156" t="s">
        <v>333</v>
      </c>
      <c r="B80" s="192" t="str">
        <f>CONCATENATE("&lt; ",ROUND(Data3!B107,2)," k")</f>
        <v>&lt; 4.66 k</v>
      </c>
      <c r="C80" s="181"/>
      <c r="D80" s="181"/>
      <c r="E80" s="181"/>
      <c r="F80" s="211"/>
    </row>
    <row r="81" spans="1:6" ht="12.75">
      <c r="A81" s="156" t="s">
        <v>334</v>
      </c>
      <c r="B81" s="193"/>
      <c r="C81" s="194"/>
      <c r="D81" s="181"/>
      <c r="E81" s="181" t="s">
        <v>383</v>
      </c>
      <c r="F81" s="211"/>
    </row>
    <row r="82" spans="1:6" ht="12.75">
      <c r="A82" s="156" t="s">
        <v>335</v>
      </c>
      <c r="B82" s="181">
        <f>Step9!B9</f>
        <v>348</v>
      </c>
      <c r="C82" s="181"/>
      <c r="D82" s="181"/>
      <c r="E82" s="181"/>
      <c r="F82" s="211"/>
    </row>
    <row r="83" spans="1:6" ht="12.75">
      <c r="A83" s="156" t="s">
        <v>484</v>
      </c>
      <c r="B83" s="186">
        <f>Step8!K21</f>
        <v>4.1</v>
      </c>
      <c r="C83" s="181"/>
      <c r="D83" s="181"/>
      <c r="E83" s="181"/>
      <c r="F83" s="211"/>
    </row>
    <row r="84" spans="1:6" ht="12.75">
      <c r="A84" s="156" t="s">
        <v>485</v>
      </c>
      <c r="B84" s="186">
        <f>Step8!K22</f>
        <v>2.5</v>
      </c>
      <c r="C84" s="181"/>
      <c r="D84" s="181"/>
      <c r="E84" s="181"/>
      <c r="F84" s="211"/>
    </row>
    <row r="85" spans="1:6" ht="25.5">
      <c r="A85" s="156" t="s">
        <v>486</v>
      </c>
      <c r="B85" s="186">
        <v>20</v>
      </c>
      <c r="C85" s="181"/>
      <c r="D85" s="181"/>
      <c r="E85" s="181" t="s">
        <v>494</v>
      </c>
      <c r="F85" s="211"/>
    </row>
    <row r="86" spans="1:6" ht="12.75">
      <c r="A86" s="156" t="s">
        <v>487</v>
      </c>
      <c r="B86" s="181">
        <f>B82*2</f>
        <v>696</v>
      </c>
      <c r="C86" s="181"/>
      <c r="D86" s="181"/>
      <c r="E86" s="181" t="s">
        <v>495</v>
      </c>
      <c r="F86" s="211"/>
    </row>
    <row r="87" spans="1:6" ht="12.75">
      <c r="A87" s="156" t="s">
        <v>336</v>
      </c>
      <c r="B87" s="181"/>
      <c r="C87" s="181" t="s">
        <v>366</v>
      </c>
      <c r="D87" s="181" t="s">
        <v>350</v>
      </c>
      <c r="E87" s="181" t="s">
        <v>368</v>
      </c>
      <c r="F87" s="211"/>
    </row>
    <row r="88" spans="1:6" ht="12.75">
      <c r="A88" s="156" t="s">
        <v>337</v>
      </c>
      <c r="B88" s="181"/>
      <c r="C88" s="181" t="s">
        <v>365</v>
      </c>
      <c r="D88" s="181" t="s">
        <v>350</v>
      </c>
      <c r="E88" s="181" t="s">
        <v>353</v>
      </c>
      <c r="F88" s="211"/>
    </row>
    <row r="89" spans="1:6" ht="12.75">
      <c r="A89" s="156" t="s">
        <v>338</v>
      </c>
      <c r="B89" s="181"/>
      <c r="C89" s="181" t="str">
        <f>IF(Data3!E10=200,"NCP1562A","NCP1562B")</f>
        <v>NCP1562B</v>
      </c>
      <c r="D89" s="181" t="s">
        <v>350</v>
      </c>
      <c r="E89" s="181" t="s">
        <v>369</v>
      </c>
      <c r="F89" s="211"/>
    </row>
    <row r="90" spans="1:6" ht="12.75">
      <c r="A90" s="156" t="s">
        <v>339</v>
      </c>
      <c r="B90" s="181"/>
      <c r="C90" s="181" t="s">
        <v>499</v>
      </c>
      <c r="D90" s="181" t="s">
        <v>500</v>
      </c>
      <c r="E90" s="181" t="s">
        <v>371</v>
      </c>
      <c r="F90" s="211"/>
    </row>
    <row r="91" spans="1:6" ht="12.75">
      <c r="A91" s="156" t="s">
        <v>340</v>
      </c>
      <c r="B91" s="181"/>
      <c r="C91" s="181" t="s">
        <v>364</v>
      </c>
      <c r="D91" s="181" t="s">
        <v>350</v>
      </c>
      <c r="E91" s="181" t="s">
        <v>352</v>
      </c>
      <c r="F91" s="211"/>
    </row>
    <row r="92" spans="1:6" ht="12.75">
      <c r="A92" s="156" t="s">
        <v>349</v>
      </c>
      <c r="B92" s="181"/>
      <c r="C92" s="181" t="s">
        <v>354</v>
      </c>
      <c r="D92" s="181" t="s">
        <v>350</v>
      </c>
      <c r="E92" s="181" t="s">
        <v>354</v>
      </c>
      <c r="F92" s="211"/>
    </row>
    <row r="93" spans="1:6" ht="25.5">
      <c r="A93" s="157" t="s">
        <v>341</v>
      </c>
      <c r="B93" s="181"/>
      <c r="C93" s="181"/>
      <c r="D93" s="181"/>
      <c r="E93" s="181" t="str">
        <f>CONCATENATE("N-Channel MOSFET, Minimum Drain
Voltage rating is ",ROUND(Step1!B25,2),," V, ","I = ",ROUND(MAX(Step2!J6,Step2!J8),2)," A")</f>
        <v>N-Channel MOSFET, Minimum Drain
Voltage rating is 104.42 V, I = 2.69 A</v>
      </c>
      <c r="F93" s="211"/>
    </row>
    <row r="94" spans="1:6" ht="25.5">
      <c r="A94" s="157" t="s">
        <v>342</v>
      </c>
      <c r="B94" s="181"/>
      <c r="C94" s="181"/>
      <c r="D94" s="181"/>
      <c r="E94" s="181" t="str">
        <f>CONCATENATE("P-Channel MOSFET, Minimum Drain
Voltage rating is ",ROUND(Step1!B25,2)," V",," V, ","I = ",ROUND(MAX(Data2!K34:K35),2)," A")</f>
        <v>P-Channel MOSFET, Minimum Drain
Voltage rating is 104.42 V V, I = 0.49 A</v>
      </c>
      <c r="F94" s="211"/>
    </row>
    <row r="95" spans="1:6" ht="25.5">
      <c r="A95" s="157" t="s">
        <v>343</v>
      </c>
      <c r="B95" s="181"/>
      <c r="C95" s="195"/>
      <c r="D95" s="181" t="s">
        <v>350</v>
      </c>
      <c r="E95" s="181" t="str">
        <f>CONCATENATE("Maximum gate/drain voltage
 rating is ",ROUND(Step4!B17,2)," V, ","I = ",Iout1," A")</f>
        <v>Maximum gate/drain voltage
 rating is 12.67 V, I = 30 A</v>
      </c>
      <c r="F95" s="211"/>
    </row>
    <row r="96" spans="1:6" ht="25.5">
      <c r="A96" s="157" t="s">
        <v>344</v>
      </c>
      <c r="B96" s="181"/>
      <c r="C96" s="196"/>
      <c r="D96" s="181" t="s">
        <v>350</v>
      </c>
      <c r="E96" s="181" t="str">
        <f>CONCATENATE("Maximum gate/drain voltage
rating is ",ROUND(Step4!B17,2)," V, ","I = ",Iout1," A")</f>
        <v>Maximum gate/drain voltage
rating is 12.67 V, I = 30 A</v>
      </c>
      <c r="F96" s="211"/>
    </row>
    <row r="97" spans="1:6" ht="12.75">
      <c r="A97" s="157" t="s">
        <v>345</v>
      </c>
      <c r="B97" s="181"/>
      <c r="C97" s="181" t="s">
        <v>370</v>
      </c>
      <c r="D97" s="181" t="s">
        <v>350</v>
      </c>
      <c r="E97" s="181" t="s">
        <v>351</v>
      </c>
      <c r="F97" s="211"/>
    </row>
  </sheetData>
  <sheetProtection password="C582" sheet="1" objects="1" scenarios="1"/>
  <mergeCells count="1">
    <mergeCell ref="A1:G1"/>
  </mergeCells>
  <printOptions/>
  <pageMargins left="0.75" right="0.75" top="1" bottom="1" header="0.5" footer="0.5"/>
  <pageSetup horizontalDpi="600" verticalDpi="600" orientation="landscape" paperSize="159" scale="96" r:id="rId2"/>
  <headerFooter alignWithMargins="0">
    <oddHeader>&amp;C&amp;"Arial,Bold"&amp;12NCP1562 Design Tool</oddHeader>
    <oddFooter>&amp;L&amp;A Page &amp;P of &amp;N&amp;C&amp;"Arial,Bold"&amp;12Provided by ON Semiconductor&amp;R&amp;D</oddFooter>
  </headerFooter>
  <rowBreaks count="1" manualBreakCount="1">
    <brk id="34" max="5" man="1"/>
  </rowBreaks>
  <drawing r:id="rId1"/>
</worksheet>
</file>

<file path=xl/worksheets/sheet12.xml><?xml version="1.0" encoding="utf-8"?>
<worksheet xmlns="http://schemas.openxmlformats.org/spreadsheetml/2006/main" xmlns:r="http://schemas.openxmlformats.org/officeDocument/2006/relationships">
  <sheetPr codeName="Sheet3"/>
  <dimension ref="A2:Q125"/>
  <sheetViews>
    <sheetView showGridLines="0" workbookViewId="0" topLeftCell="A55">
      <selection activeCell="E86" sqref="E86"/>
    </sheetView>
  </sheetViews>
  <sheetFormatPr defaultColWidth="9.140625" defaultRowHeight="12.75"/>
  <cols>
    <col min="1" max="1" width="20.7109375" style="1" customWidth="1"/>
    <col min="2" max="2" width="16.00390625" style="1" customWidth="1"/>
    <col min="3" max="3" width="17.421875" style="1" customWidth="1"/>
    <col min="4" max="5" width="16.421875" style="1" customWidth="1"/>
    <col min="6" max="7" width="12.421875" style="1" bestFit="1" customWidth="1"/>
    <col min="8" max="8" width="17.00390625" style="1" bestFit="1" customWidth="1"/>
    <col min="9" max="9" width="10.00390625" style="1" bestFit="1" customWidth="1"/>
    <col min="10" max="10" width="11.28125" style="6" customWidth="1"/>
    <col min="11" max="11" width="10.28125" style="1" customWidth="1"/>
    <col min="12" max="12" width="9.28125" style="1" bestFit="1" customWidth="1"/>
    <col min="13" max="13" width="12.57421875" style="1" customWidth="1"/>
    <col min="14" max="14" width="17.8515625" style="1" bestFit="1" customWidth="1"/>
    <col min="15" max="15" width="18.8515625" style="1" bestFit="1" customWidth="1"/>
    <col min="16" max="16384" width="9.140625" style="1" customWidth="1"/>
  </cols>
  <sheetData>
    <row r="1" ht="12.75"/>
    <row r="2" ht="12.75">
      <c r="A2" s="10" t="s">
        <v>10</v>
      </c>
    </row>
    <row r="3" spans="1:11" ht="12.75">
      <c r="A3" s="3" t="s">
        <v>7</v>
      </c>
      <c r="B3" s="3" t="s">
        <v>33</v>
      </c>
      <c r="C3" s="3" t="s">
        <v>475</v>
      </c>
      <c r="D3" s="3" t="s">
        <v>9</v>
      </c>
      <c r="E3" s="3" t="s">
        <v>475</v>
      </c>
      <c r="F3" s="3" t="s">
        <v>34</v>
      </c>
      <c r="G3" s="3" t="s">
        <v>475</v>
      </c>
      <c r="I3" s="3" t="s">
        <v>9</v>
      </c>
      <c r="J3" s="7" t="s">
        <v>8</v>
      </c>
      <c r="K3" s="3" t="s">
        <v>475</v>
      </c>
    </row>
    <row r="4" spans="1:14" ht="12.75">
      <c r="A4" s="5">
        <f>Vinmin</f>
        <v>33</v>
      </c>
      <c r="B4" s="8">
        <f>D4*0.95</f>
        <v>0.6174999999999999</v>
      </c>
      <c r="C4" s="7">
        <f>A4/(1-B4)</f>
        <v>86.27450980392156</v>
      </c>
      <c r="D4" s="8">
        <f>Step1!B12</f>
        <v>0.65</v>
      </c>
      <c r="E4" s="7">
        <f>A4/(1-D4)</f>
        <v>94.28571428571429</v>
      </c>
      <c r="F4" s="9">
        <f>D4*1.05</f>
        <v>0.6825000000000001</v>
      </c>
      <c r="G4" s="7">
        <f>A4/(1-F4)</f>
        <v>103.93700787401578</v>
      </c>
      <c r="I4" s="7">
        <v>0.2</v>
      </c>
      <c r="J4" s="7">
        <f aca="true" t="shared" si="0" ref="J4:J15">$A$4*I4/(Vout1+Iout1*rectrdson*0.001)</f>
        <v>1.929824561403509</v>
      </c>
      <c r="K4" s="7">
        <f>$A$4/(1-I4)</f>
        <v>41.25</v>
      </c>
      <c r="M4" s="1">
        <v>36</v>
      </c>
      <c r="N4" s="1">
        <v>88</v>
      </c>
    </row>
    <row r="5" spans="1:14" ht="12.75">
      <c r="A5" s="7">
        <f>(Step1!$B$7-Step1!$B$8)/10+A4</f>
        <v>37.3</v>
      </c>
      <c r="B5" s="9">
        <f>A4/A5*B4</f>
        <v>0.546313672922252</v>
      </c>
      <c r="C5" s="7">
        <f aca="true" t="shared" si="1" ref="C5:C14">A5/(1-B5)</f>
        <v>82.21539370660362</v>
      </c>
      <c r="D5" s="9">
        <f>A4/A5*D4</f>
        <v>0.5750670241286864</v>
      </c>
      <c r="E5" s="7">
        <f aca="true" t="shared" si="2" ref="E5:E14">A5/(1-D5)</f>
        <v>87.77854889589906</v>
      </c>
      <c r="F5" s="9">
        <f>A4/A5*F4</f>
        <v>0.6038203753351208</v>
      </c>
      <c r="G5" s="7">
        <f>A5/(1-F5)</f>
        <v>94.14921333107768</v>
      </c>
      <c r="I5" s="7">
        <v>0.25</v>
      </c>
      <c r="J5" s="7">
        <f t="shared" si="0"/>
        <v>2.412280701754386</v>
      </c>
      <c r="K5" s="7">
        <f aca="true" t="shared" si="3" ref="K5:K15">$A$4/(1-I5)</f>
        <v>44</v>
      </c>
      <c r="M5" s="1">
        <v>48</v>
      </c>
      <c r="N5" s="1">
        <v>86.1</v>
      </c>
    </row>
    <row r="6" spans="1:14" ht="12.75">
      <c r="A6" s="7">
        <f>(Step1!$B$7-Step1!$B$8)/10+A5</f>
        <v>41.599999999999994</v>
      </c>
      <c r="B6" s="9">
        <f>A5/A6*B5</f>
        <v>0.48984374999999997</v>
      </c>
      <c r="C6" s="7">
        <f t="shared" si="1"/>
        <v>81.54364471669217</v>
      </c>
      <c r="D6" s="9">
        <f>A5/A6*D5</f>
        <v>0.5156250000000001</v>
      </c>
      <c r="E6" s="7">
        <f t="shared" si="2"/>
        <v>85.88387096774194</v>
      </c>
      <c r="F6" s="9">
        <f aca="true" t="shared" si="4" ref="F6:F14">A5/A6*F5</f>
        <v>0.5414062500000002</v>
      </c>
      <c r="G6" s="7">
        <f aca="true" t="shared" si="5" ref="G6:G14">A6/(1-F6)</f>
        <v>90.71209540034074</v>
      </c>
      <c r="I6" s="7">
        <v>0.3</v>
      </c>
      <c r="J6" s="7">
        <f t="shared" si="0"/>
        <v>2.8947368421052633</v>
      </c>
      <c r="K6" s="7">
        <f t="shared" si="3"/>
        <v>47.142857142857146</v>
      </c>
      <c r="M6" s="1">
        <v>72</v>
      </c>
      <c r="N6" s="1">
        <v>102.8</v>
      </c>
    </row>
    <row r="7" spans="1:11" ht="12.75">
      <c r="A7" s="7">
        <f>(Step1!$B$7-Step1!$B$8)/10+A6</f>
        <v>45.89999999999999</v>
      </c>
      <c r="B7" s="9">
        <f aca="true" t="shared" si="6" ref="B7:B14">A6/A7*B6</f>
        <v>0.4439542483660131</v>
      </c>
      <c r="C7" s="7">
        <f t="shared" si="1"/>
        <v>82.54716426682337</v>
      </c>
      <c r="D7" s="9">
        <f aca="true" t="shared" si="7" ref="D7:D14">A6/A7*D6</f>
        <v>0.4673202614379086</v>
      </c>
      <c r="E7" s="7">
        <f t="shared" si="2"/>
        <v>86.1680981595092</v>
      </c>
      <c r="F7" s="9">
        <f t="shared" si="4"/>
        <v>0.4906862745098041</v>
      </c>
      <c r="G7" s="7">
        <f t="shared" si="5"/>
        <v>90.12127045235806</v>
      </c>
      <c r="I7" s="7">
        <v>0.35</v>
      </c>
      <c r="J7" s="7">
        <f t="shared" si="0"/>
        <v>3.37719298245614</v>
      </c>
      <c r="K7" s="7">
        <f t="shared" si="3"/>
        <v>50.76923076923077</v>
      </c>
    </row>
    <row r="8" spans="1:11" ht="12.75">
      <c r="A8" s="7">
        <f>(Step1!$B$7-Step1!$B$8)/10+A7</f>
        <v>50.19999999999999</v>
      </c>
      <c r="B8" s="9">
        <f t="shared" si="6"/>
        <v>0.4059262948207172</v>
      </c>
      <c r="C8" s="7">
        <f t="shared" si="1"/>
        <v>84.5012993545142</v>
      </c>
      <c r="D8" s="9">
        <f t="shared" si="7"/>
        <v>0.4272908366533866</v>
      </c>
      <c r="E8" s="7">
        <f t="shared" si="2"/>
        <v>87.65356521739129</v>
      </c>
      <c r="F8" s="9">
        <f t="shared" si="4"/>
        <v>0.448655378486056</v>
      </c>
      <c r="G8" s="7">
        <f t="shared" si="5"/>
        <v>91.05013097281189</v>
      </c>
      <c r="I8" s="7">
        <v>0.4</v>
      </c>
      <c r="J8" s="7">
        <f t="shared" si="0"/>
        <v>3.859649122807018</v>
      </c>
      <c r="K8" s="7">
        <f t="shared" si="3"/>
        <v>55</v>
      </c>
    </row>
    <row r="9" spans="1:11" ht="12.75">
      <c r="A9" s="7">
        <f>(Step1!$B$7-Step1!$B$8)/10+A8</f>
        <v>54.499999999999986</v>
      </c>
      <c r="B9" s="9">
        <f t="shared" si="6"/>
        <v>0.3738990825688074</v>
      </c>
      <c r="C9" s="7">
        <f t="shared" si="1"/>
        <v>87.04667008572054</v>
      </c>
      <c r="D9" s="9">
        <f t="shared" si="7"/>
        <v>0.39357798165137625</v>
      </c>
      <c r="E9" s="7">
        <f t="shared" si="2"/>
        <v>89.8714069591528</v>
      </c>
      <c r="F9" s="9">
        <f t="shared" si="4"/>
        <v>0.4132568807339452</v>
      </c>
      <c r="G9" s="7">
        <f t="shared" si="5"/>
        <v>92.88562270346338</v>
      </c>
      <c r="I9" s="7">
        <v>0.45</v>
      </c>
      <c r="J9" s="7">
        <f t="shared" si="0"/>
        <v>4.342105263157895</v>
      </c>
      <c r="K9" s="7">
        <f t="shared" si="3"/>
        <v>59.99999999999999</v>
      </c>
    </row>
    <row r="10" spans="1:11" ht="12.75">
      <c r="A10" s="7">
        <f>(Step1!$B$7-Step1!$B$8)/10+A9</f>
        <v>58.79999999999998</v>
      </c>
      <c r="B10" s="9">
        <f t="shared" si="6"/>
        <v>0.3465561224489796</v>
      </c>
      <c r="C10" s="7">
        <f t="shared" si="1"/>
        <v>89.98477454616433</v>
      </c>
      <c r="D10" s="9">
        <f t="shared" si="7"/>
        <v>0.36479591836734704</v>
      </c>
      <c r="E10" s="7">
        <f t="shared" si="2"/>
        <v>92.56867469879516</v>
      </c>
      <c r="F10" s="9">
        <f t="shared" si="4"/>
        <v>0.3830357142857145</v>
      </c>
      <c r="G10" s="7">
        <f t="shared" si="5"/>
        <v>95.30535455861072</v>
      </c>
      <c r="I10" s="7">
        <v>0.5</v>
      </c>
      <c r="J10" s="7">
        <f t="shared" si="0"/>
        <v>4.824561403508772</v>
      </c>
      <c r="K10" s="7">
        <f t="shared" si="3"/>
        <v>66</v>
      </c>
    </row>
    <row r="11" spans="1:11" ht="12.75">
      <c r="A11" s="7">
        <f>(Step1!$B$7-Step1!$B$8)/10+A10</f>
        <v>63.09999999999998</v>
      </c>
      <c r="B11" s="9">
        <f t="shared" si="6"/>
        <v>0.3229397781299525</v>
      </c>
      <c r="C11" s="7">
        <f t="shared" si="1"/>
        <v>93.19702732752062</v>
      </c>
      <c r="D11" s="9">
        <f t="shared" si="7"/>
        <v>0.3399366085578448</v>
      </c>
      <c r="E11" s="7">
        <f t="shared" si="2"/>
        <v>95.59687875150058</v>
      </c>
      <c r="F11" s="9">
        <f t="shared" si="4"/>
        <v>0.35693343898573715</v>
      </c>
      <c r="G11" s="7">
        <f t="shared" si="5"/>
        <v>98.12359065984845</v>
      </c>
      <c r="I11" s="7">
        <v>0.55</v>
      </c>
      <c r="J11" s="7">
        <f t="shared" si="0"/>
        <v>5.30701754385965</v>
      </c>
      <c r="K11" s="7">
        <f t="shared" si="3"/>
        <v>73.33333333333334</v>
      </c>
    </row>
    <row r="12" spans="1:11" ht="12.75">
      <c r="A12" s="7">
        <f>(Step1!$B$7-Step1!$B$8)/10+A11</f>
        <v>67.39999999999998</v>
      </c>
      <c r="B12" s="9">
        <f t="shared" si="6"/>
        <v>0.30233679525222557</v>
      </c>
      <c r="C12" s="7">
        <f t="shared" si="1"/>
        <v>96.60821946940293</v>
      </c>
      <c r="D12" s="9">
        <f t="shared" si="7"/>
        <v>0.3182492581602375</v>
      </c>
      <c r="E12" s="7">
        <f t="shared" si="2"/>
        <v>98.86311207834602</v>
      </c>
      <c r="F12" s="9">
        <f t="shared" si="4"/>
        <v>0.3341617210682495</v>
      </c>
      <c r="G12" s="7">
        <f t="shared" si="5"/>
        <v>101.22578129352125</v>
      </c>
      <c r="I12" s="7">
        <v>0.6</v>
      </c>
      <c r="J12" s="7">
        <f t="shared" si="0"/>
        <v>5.7894736842105265</v>
      </c>
      <c r="K12" s="7">
        <f t="shared" si="3"/>
        <v>82.5</v>
      </c>
    </row>
    <row r="13" spans="1:11" ht="12.75">
      <c r="A13" s="7">
        <f>(Step1!$B$7-Step1!$B$8)/10+A12</f>
        <v>71.69999999999997</v>
      </c>
      <c r="B13" s="9">
        <f t="shared" si="6"/>
        <v>0.28420502092050215</v>
      </c>
      <c r="C13" s="7">
        <f t="shared" si="1"/>
        <v>100.16834721613324</v>
      </c>
      <c r="D13" s="9">
        <f t="shared" si="7"/>
        <v>0.29916317991631813</v>
      </c>
      <c r="E13" s="7">
        <f t="shared" si="2"/>
        <v>102.3062686567164</v>
      </c>
      <c r="F13" s="9">
        <f t="shared" si="4"/>
        <v>0.3141213389121341</v>
      </c>
      <c r="G13" s="7">
        <f t="shared" si="5"/>
        <v>104.53744090285191</v>
      </c>
      <c r="I13" s="7">
        <v>0.65</v>
      </c>
      <c r="J13" s="7">
        <f t="shared" si="0"/>
        <v>6.271929824561403</v>
      </c>
      <c r="K13" s="7">
        <f t="shared" si="3"/>
        <v>94.28571428571429</v>
      </c>
    </row>
    <row r="14" spans="1:11" ht="12.75">
      <c r="A14" s="7">
        <f>(Step1!$B$7-Step1!$B$8)/10+A13</f>
        <v>75.99999999999997</v>
      </c>
      <c r="B14" s="9">
        <f t="shared" si="6"/>
        <v>0.26812500000000006</v>
      </c>
      <c r="C14" s="7">
        <f t="shared" si="1"/>
        <v>103.84286934244233</v>
      </c>
      <c r="D14" s="9">
        <f t="shared" si="7"/>
        <v>0.2822368421052633</v>
      </c>
      <c r="E14" s="7">
        <f t="shared" si="2"/>
        <v>105.88450962419796</v>
      </c>
      <c r="F14" s="9">
        <f t="shared" si="4"/>
        <v>0.2963486842105265</v>
      </c>
      <c r="G14" s="7">
        <f t="shared" si="5"/>
        <v>108.00804076480762</v>
      </c>
      <c r="I14" s="7">
        <v>0.7</v>
      </c>
      <c r="J14" s="7">
        <f t="shared" si="0"/>
        <v>6.75438596491228</v>
      </c>
      <c r="K14" s="7">
        <f t="shared" si="3"/>
        <v>109.99999999999999</v>
      </c>
    </row>
    <row r="15" spans="9:11" ht="12.75">
      <c r="I15" s="7">
        <v>0.75</v>
      </c>
      <c r="J15" s="7">
        <f t="shared" si="0"/>
        <v>7.236842105263158</v>
      </c>
      <c r="K15" s="7">
        <f t="shared" si="3"/>
        <v>132</v>
      </c>
    </row>
    <row r="16" ht="12.75"/>
    <row r="17" s="85" customFormat="1" ht="12.75">
      <c r="J17" s="86"/>
    </row>
    <row r="18" ht="12.75"/>
    <row r="19" ht="12.75">
      <c r="A19" s="10" t="s">
        <v>47</v>
      </c>
    </row>
    <row r="20" spans="1:14" ht="12.75">
      <c r="A20" s="3" t="s">
        <v>7</v>
      </c>
      <c r="B20" s="3" t="s">
        <v>33</v>
      </c>
      <c r="C20" s="3" t="s">
        <v>475</v>
      </c>
      <c r="D20" s="3" t="s">
        <v>9</v>
      </c>
      <c r="E20" s="3" t="s">
        <v>475</v>
      </c>
      <c r="F20" s="3" t="s">
        <v>34</v>
      </c>
      <c r="G20" s="3" t="s">
        <v>475</v>
      </c>
      <c r="H20" s="3" t="s">
        <v>36</v>
      </c>
      <c r="I20"/>
      <c r="J20" s="83" t="s">
        <v>96</v>
      </c>
      <c r="K20" s="80"/>
      <c r="M20" s="83" t="s">
        <v>97</v>
      </c>
      <c r="N20" s="84"/>
    </row>
    <row r="21" spans="1:14" ht="12.75">
      <c r="A21" s="5">
        <f>A4</f>
        <v>33</v>
      </c>
      <c r="B21" s="8">
        <f>D21*0.95</f>
        <v>0.595418448381185</v>
      </c>
      <c r="C21" s="7">
        <f>A21/(1-B21)</f>
        <v>81.56575569983389</v>
      </c>
      <c r="D21" s="199">
        <f>Step1!B23</f>
        <v>0.626756261453879</v>
      </c>
      <c r="E21" s="7">
        <f>A21/(1-D21)</f>
        <v>88.4140752864157</v>
      </c>
      <c r="F21" s="9">
        <f>D21*1.05</f>
        <v>0.658094074526573</v>
      </c>
      <c r="G21" s="7">
        <f>A21/(1-F21)</f>
        <v>96.51777738073967</v>
      </c>
      <c r="H21" s="19">
        <f>Step1!$B$13</f>
        <v>150</v>
      </c>
      <c r="I21"/>
      <c r="J21" s="3" t="s">
        <v>90</v>
      </c>
      <c r="K21" s="3" t="s">
        <v>94</v>
      </c>
      <c r="M21" s="3" t="s">
        <v>90</v>
      </c>
      <c r="N21" s="3" t="s">
        <v>94</v>
      </c>
    </row>
    <row r="22" spans="1:14" ht="12.75">
      <c r="A22" s="7">
        <f>(Step1!$B$7-Step1!$B$8)/10+A21</f>
        <v>37.3</v>
      </c>
      <c r="B22" s="9">
        <f>A21/A22*B21</f>
        <v>0.5267777157259813</v>
      </c>
      <c r="C22" s="7">
        <f aca="true" t="shared" si="8" ref="C22:C30">A22/(1-B22)</f>
        <v>78.82130922304894</v>
      </c>
      <c r="D22" s="198">
        <f>A21/A22*D21</f>
        <v>0.5545028586589278</v>
      </c>
      <c r="E22" s="7">
        <f aca="true" t="shared" si="9" ref="E22:E30">A22/(1-D22)</f>
        <v>83.72668764543913</v>
      </c>
      <c r="F22" s="9">
        <f>A21/A22*F21</f>
        <v>0.5822280015918743</v>
      </c>
      <c r="G22" s="7">
        <f>A22/(1-F22)</f>
        <v>89.28315000078403</v>
      </c>
      <c r="H22" s="19">
        <f>H21</f>
        <v>150</v>
      </c>
      <c r="I22"/>
      <c r="J22" s="9">
        <v>0</v>
      </c>
      <c r="K22" s="9">
        <v>0</v>
      </c>
      <c r="M22" s="9">
        <v>0</v>
      </c>
      <c r="N22" s="9">
        <v>0</v>
      </c>
    </row>
    <row r="23" spans="1:14" ht="12.75">
      <c r="A23" s="7">
        <f>(Step1!$B$7-Step1!$B$8)/10+A22</f>
        <v>41.599999999999994</v>
      </c>
      <c r="B23" s="9">
        <f>A22/A23*B22</f>
        <v>0.4723271345331515</v>
      </c>
      <c r="C23" s="7">
        <f t="shared" si="8"/>
        <v>78.83672389179077</v>
      </c>
      <c r="D23" s="198">
        <f>A22/A23*D22</f>
        <v>0.49718645740331746</v>
      </c>
      <c r="E23" s="7">
        <f t="shared" si="9"/>
        <v>82.7344462226791</v>
      </c>
      <c r="F23" s="9">
        <f aca="true" t="shared" si="10" ref="F23:F31">A22/A23*F22</f>
        <v>0.5220457802734835</v>
      </c>
      <c r="G23" s="7">
        <f aca="true" t="shared" si="11" ref="G23:G31">A23/(1-F23)</f>
        <v>87.03762469929305</v>
      </c>
      <c r="H23" s="19">
        <f aca="true" t="shared" si="12" ref="H23:H31">H22</f>
        <v>150</v>
      </c>
      <c r="I23"/>
      <c r="J23" s="9">
        <v>0.001</v>
      </c>
      <c r="K23" s="9">
        <f>Data2!B35/NpNs1</f>
        <v>4.80449137504727</v>
      </c>
      <c r="M23" s="9">
        <v>0.001</v>
      </c>
      <c r="N23" s="9">
        <f>Data2!F35/NpNs1</f>
        <v>4.618104543111145</v>
      </c>
    </row>
    <row r="24" spans="1:14" ht="12.75">
      <c r="A24" s="7">
        <f>(Step1!$B$7-Step1!$B$8)/10+A23</f>
        <v>45.89999999999999</v>
      </c>
      <c r="B24" s="9">
        <f aca="true" t="shared" si="13" ref="B24:B31">A23/A24*B23</f>
        <v>0.4280786230191526</v>
      </c>
      <c r="C24" s="7">
        <f t="shared" si="8"/>
        <v>80.25578662980647</v>
      </c>
      <c r="D24" s="198">
        <f aca="true" t="shared" si="14" ref="D24:D30">A23/A24*D23</f>
        <v>0.450609076862266</v>
      </c>
      <c r="E24" s="7">
        <f t="shared" si="9"/>
        <v>83.54706651841191</v>
      </c>
      <c r="F24" s="9">
        <f t="shared" si="10"/>
        <v>0.4731395307053794</v>
      </c>
      <c r="G24" s="7">
        <f t="shared" si="11"/>
        <v>87.11984040376484</v>
      </c>
      <c r="H24" s="19">
        <f t="shared" si="12"/>
        <v>150</v>
      </c>
      <c r="I24"/>
      <c r="J24" s="9">
        <f>DCmax/f*1000</f>
        <v>1.7907321755825114</v>
      </c>
      <c r="K24" s="9">
        <f>Data2!B36/NpNs1+Imagll</f>
        <v>5.687959973237921</v>
      </c>
      <c r="M24" s="9">
        <f>DCmin/f*1000</f>
        <v>0.7740767286581915</v>
      </c>
      <c r="N24" s="9">
        <f>Data2!F36/NpNs1+Imaghl</f>
        <v>5.874346805174047</v>
      </c>
    </row>
    <row r="25" spans="1:14" ht="12.75">
      <c r="A25" s="7">
        <f>(Step1!$B$7-Step1!$B$8)/10+A24</f>
        <v>50.19999999999999</v>
      </c>
      <c r="B25" s="9">
        <f t="shared" si="13"/>
        <v>0.39141053379639656</v>
      </c>
      <c r="C25" s="7">
        <f t="shared" si="8"/>
        <v>82.48581808875015</v>
      </c>
      <c r="D25" s="198">
        <f t="shared" si="14"/>
        <v>0.41201108820673327</v>
      </c>
      <c r="E25" s="7">
        <f t="shared" si="9"/>
        <v>85.37575963277688</v>
      </c>
      <c r="F25" s="9">
        <f t="shared" si="10"/>
        <v>0.43261164261707</v>
      </c>
      <c r="G25" s="7">
        <f t="shared" si="11"/>
        <v>88.47555531725521</v>
      </c>
      <c r="H25" s="19">
        <f t="shared" si="12"/>
        <v>150</v>
      </c>
      <c r="I25"/>
      <c r="J25" s="9">
        <f>J24+0.001</f>
        <v>1.7917321755825113</v>
      </c>
      <c r="K25" s="9">
        <v>0</v>
      </c>
      <c r="M25" s="9">
        <f>M24+0.001</f>
        <v>0.7750767286581915</v>
      </c>
      <c r="N25" s="9">
        <v>0</v>
      </c>
    </row>
    <row r="26" spans="1:14" ht="12.75">
      <c r="A26" s="7">
        <f>(Step1!$B$7-Step1!$B$8)/10+A25</f>
        <v>54.499999999999986</v>
      </c>
      <c r="B26" s="9">
        <f t="shared" si="13"/>
        <v>0.3605286017720937</v>
      </c>
      <c r="C26" s="7">
        <f t="shared" si="8"/>
        <v>85.22664211570616</v>
      </c>
      <c r="D26" s="198">
        <f t="shared" si="14"/>
        <v>0.3795037913390461</v>
      </c>
      <c r="E26" s="7">
        <f t="shared" si="9"/>
        <v>87.83292990236367</v>
      </c>
      <c r="F26" s="9">
        <f t="shared" si="10"/>
        <v>0.3984789809059985</v>
      </c>
      <c r="G26" s="7">
        <f t="shared" si="11"/>
        <v>90.60365019677411</v>
      </c>
      <c r="H26" s="19">
        <f t="shared" si="12"/>
        <v>150</v>
      </c>
      <c r="I26"/>
      <c r="J26" s="9">
        <f>1/f*1000</f>
        <v>2.857142857142857</v>
      </c>
      <c r="K26" s="9">
        <v>0</v>
      </c>
      <c r="M26" s="9">
        <f>1/f*1000</f>
        <v>2.857142857142857</v>
      </c>
      <c r="N26" s="9">
        <v>0</v>
      </c>
    </row>
    <row r="27" spans="1:14" ht="12.75">
      <c r="A27" s="7">
        <f>(Step1!$B$7-Step1!$B$8)/10+A26</f>
        <v>58.79999999999998</v>
      </c>
      <c r="B27" s="9">
        <f t="shared" si="13"/>
        <v>0.33416341490780793</v>
      </c>
      <c r="C27" s="7">
        <f t="shared" si="8"/>
        <v>88.30995670185125</v>
      </c>
      <c r="D27" s="198">
        <f t="shared" si="14"/>
        <v>0.3517509630608505</v>
      </c>
      <c r="E27" s="7">
        <f t="shared" si="9"/>
        <v>90.70588099542287</v>
      </c>
      <c r="F27" s="9">
        <f t="shared" si="10"/>
        <v>0.36933851121389316</v>
      </c>
      <c r="G27" s="7">
        <f t="shared" si="11"/>
        <v>93.2354377832359</v>
      </c>
      <c r="H27" s="19">
        <f t="shared" si="12"/>
        <v>150</v>
      </c>
      <c r="I27"/>
      <c r="J27" s="9">
        <f>J26+0.0001</f>
        <v>2.8572428571428574</v>
      </c>
      <c r="K27" s="9">
        <v>0</v>
      </c>
      <c r="M27" s="9">
        <f>M26+0.0001</f>
        <v>2.8572428571428574</v>
      </c>
      <c r="N27" s="9">
        <v>0</v>
      </c>
    </row>
    <row r="28" spans="1:14" ht="12.75">
      <c r="A28" s="7">
        <f>(Step1!$B$7-Step1!$B$8)/10+A27</f>
        <v>63.09999999999998</v>
      </c>
      <c r="B28" s="9">
        <f t="shared" si="13"/>
        <v>0.3113915815622679</v>
      </c>
      <c r="C28" s="7">
        <f t="shared" si="8"/>
        <v>91.63408159191107</v>
      </c>
      <c r="D28" s="198">
        <f t="shared" si="14"/>
        <v>0.32778061217080845</v>
      </c>
      <c r="E28" s="7">
        <f t="shared" si="9"/>
        <v>93.86816438569227</v>
      </c>
      <c r="F28" s="9">
        <f t="shared" si="10"/>
        <v>0.34416964277934897</v>
      </c>
      <c r="G28" s="7">
        <f t="shared" si="11"/>
        <v>96.21390547917301</v>
      </c>
      <c r="H28" s="19">
        <f t="shared" si="12"/>
        <v>150</v>
      </c>
      <c r="I28"/>
      <c r="J28" s="9">
        <f>J27+0.001</f>
        <v>2.8582428571428573</v>
      </c>
      <c r="K28" s="9">
        <f>K23</f>
        <v>4.80449137504727</v>
      </c>
      <c r="M28" s="9">
        <f>M27+0.001</f>
        <v>2.8582428571428573</v>
      </c>
      <c r="N28" s="9">
        <f>N23</f>
        <v>4.618104543111145</v>
      </c>
    </row>
    <row r="29" spans="1:14" ht="12.75">
      <c r="A29" s="7">
        <f>(Step1!$B$7-Step1!$B$8)/10+A28</f>
        <v>67.39999999999998</v>
      </c>
      <c r="B29" s="9">
        <f t="shared" si="13"/>
        <v>0.2915253530649719</v>
      </c>
      <c r="C29" s="7">
        <f t="shared" si="8"/>
        <v>95.13396180312577</v>
      </c>
      <c r="D29" s="198">
        <f t="shared" si="14"/>
        <v>0.3068687926999705</v>
      </c>
      <c r="E29" s="7">
        <f t="shared" si="9"/>
        <v>97.23988660465137</v>
      </c>
      <c r="F29" s="9">
        <f t="shared" si="10"/>
        <v>0.32221223233496915</v>
      </c>
      <c r="G29" s="7">
        <f t="shared" si="11"/>
        <v>99.44115726991063</v>
      </c>
      <c r="H29" s="19">
        <f t="shared" si="12"/>
        <v>150</v>
      </c>
      <c r="I29"/>
      <c r="J29" s="9">
        <f>J24+J27</f>
        <v>4.647975032725369</v>
      </c>
      <c r="K29" s="9">
        <f>K24</f>
        <v>5.687959973237921</v>
      </c>
      <c r="M29" s="9">
        <f>M24+M27</f>
        <v>3.631319585801049</v>
      </c>
      <c r="N29" s="9">
        <f>N24</f>
        <v>5.874346805174047</v>
      </c>
    </row>
    <row r="30" spans="1:14" ht="12.75">
      <c r="A30" s="7">
        <f>(Step1!$B$7-Step1!$B$8)/10+A29</f>
        <v>71.69999999999997</v>
      </c>
      <c r="B30" s="9">
        <f t="shared" si="13"/>
        <v>0.27404196369008516</v>
      </c>
      <c r="C30" s="7">
        <f t="shared" si="8"/>
        <v>98.76603937667674</v>
      </c>
      <c r="D30" s="198">
        <f t="shared" si="14"/>
        <v>0.28846522493693183</v>
      </c>
      <c r="E30" s="7">
        <f t="shared" si="9"/>
        <v>100.76808964627865</v>
      </c>
      <c r="F30" s="9">
        <f t="shared" si="10"/>
        <v>0.30288848618377856</v>
      </c>
      <c r="G30" s="7">
        <f t="shared" si="11"/>
        <v>102.85298489403827</v>
      </c>
      <c r="H30" s="19">
        <f t="shared" si="12"/>
        <v>150</v>
      </c>
      <c r="I30"/>
      <c r="J30" s="9">
        <f>J25+J26</f>
        <v>4.6488750327253685</v>
      </c>
      <c r="K30" s="9">
        <v>0</v>
      </c>
      <c r="M30" s="9">
        <f>M25+M26</f>
        <v>3.6322195858010486</v>
      </c>
      <c r="N30" s="9">
        <v>0</v>
      </c>
    </row>
    <row r="31" spans="1:14" ht="12.75">
      <c r="A31" s="7">
        <f>(Step1!$B$7-Step1!$B$8)/10+A30</f>
        <v>75.99999999999997</v>
      </c>
      <c r="B31" s="9">
        <f t="shared" si="13"/>
        <v>0.2585369578497251</v>
      </c>
      <c r="C31" s="7">
        <f>A31/(1-B31)</f>
        <v>102.50005149224522</v>
      </c>
      <c r="D31" s="198">
        <f>A30/A31*D30</f>
        <v>0.2721441661576054</v>
      </c>
      <c r="E31" s="7">
        <f>A31/(1-D31)</f>
        <v>104.41628199748213</v>
      </c>
      <c r="F31" s="9">
        <f t="shared" si="10"/>
        <v>0.2857513744654858</v>
      </c>
      <c r="G31" s="7">
        <f t="shared" si="11"/>
        <v>106.40552502726163</v>
      </c>
      <c r="H31" s="19">
        <f t="shared" si="12"/>
        <v>150</v>
      </c>
      <c r="I31"/>
      <c r="J31" s="9">
        <f>J27*2</f>
        <v>5.714485714285715</v>
      </c>
      <c r="K31" s="9">
        <v>0</v>
      </c>
      <c r="M31" s="9">
        <f>M27*2</f>
        <v>5.714485714285715</v>
      </c>
      <c r="N31" s="9">
        <v>0</v>
      </c>
    </row>
    <row r="32" spans="1:9" ht="12.75">
      <c r="A32" s="32"/>
      <c r="B32" s="30"/>
      <c r="C32" s="32"/>
      <c r="D32" s="30"/>
      <c r="E32" s="32"/>
      <c r="F32" s="30"/>
      <c r="G32" s="32"/>
      <c r="H32" s="41"/>
      <c r="I32"/>
    </row>
    <row r="33" spans="1:9" ht="12.75">
      <c r="A33" s="10" t="s">
        <v>93</v>
      </c>
      <c r="E33" s="10" t="s">
        <v>92</v>
      </c>
      <c r="H33" s="41"/>
      <c r="I33"/>
    </row>
    <row r="34" spans="1:11" ht="12.75">
      <c r="A34" s="3" t="s">
        <v>90</v>
      </c>
      <c r="B34" s="3" t="s">
        <v>91</v>
      </c>
      <c r="C34" s="4"/>
      <c r="E34" s="3" t="s">
        <v>90</v>
      </c>
      <c r="F34" s="3" t="s">
        <v>94</v>
      </c>
      <c r="H34" s="295" t="s">
        <v>98</v>
      </c>
      <c r="I34" s="296"/>
      <c r="J34" s="297"/>
      <c r="K34" s="9">
        <f>Vinmin*(DCmax/f)/Lmag*1000</f>
        <v>0.4924513482851906</v>
      </c>
    </row>
    <row r="35" spans="1:11" ht="12.75">
      <c r="A35" s="9">
        <v>0.001</v>
      </c>
      <c r="B35" s="9">
        <f>Iout1-(Iripmin/2)</f>
        <v>28.82694825028362</v>
      </c>
      <c r="C35" s="30"/>
      <c r="E35" s="9">
        <v>0.001</v>
      </c>
      <c r="F35" s="9">
        <f>Iout1-(Iripmax/2)</f>
        <v>27.70862725866687</v>
      </c>
      <c r="H35" s="295" t="s">
        <v>99</v>
      </c>
      <c r="I35" s="296"/>
      <c r="J35" s="297"/>
      <c r="K35" s="9">
        <f>Vinmax*(D31/f)/Lmag*1000</f>
        <v>0.4924513482851907</v>
      </c>
    </row>
    <row r="36" spans="1:11" ht="12.75">
      <c r="A36" s="9">
        <f>DCmax/(f*1000)*1000000</f>
        <v>1.7907321755825114</v>
      </c>
      <c r="B36" s="9">
        <f>Iout1+Iripmin/2</f>
        <v>31.17305174971638</v>
      </c>
      <c r="C36" s="30"/>
      <c r="E36" s="9">
        <f>DCmin/(f*1000)*1000000</f>
        <v>0.7740767286581917</v>
      </c>
      <c r="F36" s="9">
        <f>Iout1+Iripmax/2</f>
        <v>32.291372741333134</v>
      </c>
      <c r="H36" s="288" t="s">
        <v>219</v>
      </c>
      <c r="I36" s="289"/>
      <c r="J36" s="290"/>
      <c r="K36" s="3">
        <f>Iripmin/2</f>
        <v>1.1730517497163804</v>
      </c>
    </row>
    <row r="37" spans="1:11" ht="12.75">
      <c r="A37" s="9">
        <f>1/f*1000</f>
        <v>2.857142857142857</v>
      </c>
      <c r="B37" s="9">
        <f>B35</f>
        <v>28.82694825028362</v>
      </c>
      <c r="C37" s="30"/>
      <c r="E37" s="9">
        <f>1/f*1000</f>
        <v>2.857142857142857</v>
      </c>
      <c r="F37" s="9">
        <f>F35</f>
        <v>27.70862725866687</v>
      </c>
      <c r="H37" s="288" t="s">
        <v>220</v>
      </c>
      <c r="I37" s="289"/>
      <c r="J37" s="290"/>
      <c r="K37" s="3">
        <f>Iripmax/2</f>
        <v>2.291372741333132</v>
      </c>
    </row>
    <row r="38" spans="1:9" ht="12.75">
      <c r="A38" s="9">
        <f>A37+0.01</f>
        <v>2.867142857142857</v>
      </c>
      <c r="B38" s="9">
        <f>B37</f>
        <v>28.82694825028362</v>
      </c>
      <c r="C38" s="30"/>
      <c r="E38" s="9">
        <f>E37+0.01</f>
        <v>2.867142857142857</v>
      </c>
      <c r="F38" s="9">
        <f>F37</f>
        <v>27.70862725866687</v>
      </c>
      <c r="H38" s="41"/>
      <c r="I38"/>
    </row>
    <row r="39" spans="1:11" ht="15.75">
      <c r="A39" s="9">
        <f>A38+A36</f>
        <v>4.657875032725368</v>
      </c>
      <c r="B39" s="9">
        <f>B36</f>
        <v>31.17305174971638</v>
      </c>
      <c r="C39" s="30"/>
      <c r="E39" s="9">
        <f>E38+E36</f>
        <v>3.6412195858010485</v>
      </c>
      <c r="F39" s="9">
        <f>F36</f>
        <v>32.291372741333134</v>
      </c>
      <c r="H39" s="298" t="s">
        <v>515</v>
      </c>
      <c r="I39" s="298"/>
      <c r="J39" s="298"/>
      <c r="K39" s="3">
        <f>Imagll*SQRT((1-D21)/2)</f>
        <v>0.21273776801203897</v>
      </c>
    </row>
    <row r="40" spans="1:11" ht="15.75">
      <c r="A40" s="9">
        <f>A37*2</f>
        <v>5.714285714285714</v>
      </c>
      <c r="B40" s="9">
        <f>B38</f>
        <v>28.82694825028362</v>
      </c>
      <c r="C40" s="30"/>
      <c r="E40" s="9">
        <f>E37*2</f>
        <v>5.714285714285714</v>
      </c>
      <c r="F40" s="9">
        <f>F38</f>
        <v>27.70862725866687</v>
      </c>
      <c r="H40" s="298" t="s">
        <v>516</v>
      </c>
      <c r="I40" s="298"/>
      <c r="J40" s="298"/>
      <c r="K40" s="3">
        <f>Imagll*SQRT((1-D31)/2)</f>
        <v>0.2970783592398878</v>
      </c>
    </row>
    <row r="41" spans="1:9" ht="12.75">
      <c r="A41" s="30"/>
      <c r="B41" s="30"/>
      <c r="C41" s="30"/>
      <c r="E41" s="30"/>
      <c r="F41" s="30"/>
      <c r="H41" s="41"/>
      <c r="I41"/>
    </row>
    <row r="42" spans="1:9" ht="12.75">
      <c r="A42" s="9" t="s">
        <v>466</v>
      </c>
      <c r="B42" s="9">
        <f>(Iout1-Iripmin/2)/NpNs1+Vinmin*(DCmax/f)/(Lmag*0.001)</f>
        <v>5.296942723332461</v>
      </c>
      <c r="C42" s="30"/>
      <c r="E42" s="39" t="s">
        <v>483</v>
      </c>
      <c r="H42" s="41"/>
      <c r="I42"/>
    </row>
    <row r="43" spans="1:9" ht="12.75">
      <c r="A43" s="3" t="s">
        <v>467</v>
      </c>
      <c r="B43" s="9">
        <f>(Iout1+Iripmin/2)/NpNs1+Vinmin*(DCmax/f)/(Lmag*0.001)</f>
        <v>5.687959973237921</v>
      </c>
      <c r="C43" s="4"/>
      <c r="E43" s="291" t="s">
        <v>479</v>
      </c>
      <c r="F43" s="292"/>
      <c r="G43" s="3">
        <f>B48^2*(switchrdson*0.001)</f>
        <v>0.37729753960717066</v>
      </c>
      <c r="H43" s="41"/>
      <c r="I43"/>
    </row>
    <row r="44" spans="1:9" ht="12.75">
      <c r="A44" s="3" t="s">
        <v>472</v>
      </c>
      <c r="B44" s="9">
        <f>B43-B42</f>
        <v>0.3910172499054596</v>
      </c>
      <c r="C44" s="4"/>
      <c r="E44" s="293" t="s">
        <v>480</v>
      </c>
      <c r="F44" s="294"/>
      <c r="G44" s="3">
        <f>(Vinmin*B42*(Step2!$J$9*0.000000001)*f*1000)/6</f>
        <v>0.5098307371207494</v>
      </c>
      <c r="H44" s="41"/>
      <c r="I44"/>
    </row>
    <row r="45" spans="1:9" ht="12.75">
      <c r="A45" s="9" t="s">
        <v>468</v>
      </c>
      <c r="B45" s="9">
        <f>(Iout1-Iripmax/2)/NpNs1+Vinmax*(DCmin/f)/(Lmag*0.001)</f>
        <v>5.108353137928</v>
      </c>
      <c r="C45" s="4"/>
      <c r="E45" s="293" t="s">
        <v>477</v>
      </c>
      <c r="F45" s="294"/>
      <c r="G45" s="3">
        <f>SUM(G43:G44)</f>
        <v>0.88712827672792</v>
      </c>
      <c r="H45" s="41"/>
      <c r="I45"/>
    </row>
    <row r="46" spans="1:9" ht="12.75">
      <c r="A46" s="3" t="s">
        <v>469</v>
      </c>
      <c r="B46" s="9">
        <f>(Iout1+Iripmax/2)/NpNs1+Vinmax*(DCmin/f)/(Lmag*0.001)</f>
        <v>5.87214405170571</v>
      </c>
      <c r="C46" s="4"/>
      <c r="E46" s="291" t="s">
        <v>481</v>
      </c>
      <c r="F46" s="292"/>
      <c r="G46" s="3">
        <f>B49^2*(switchrdson*0.001)</f>
        <v>0.18573193808031951</v>
      </c>
      <c r="H46" s="41"/>
      <c r="I46"/>
    </row>
    <row r="47" spans="1:9" ht="12.75">
      <c r="A47" s="3" t="s">
        <v>472</v>
      </c>
      <c r="B47" s="9">
        <f>B46-B45</f>
        <v>0.7637909137777106</v>
      </c>
      <c r="C47" s="4"/>
      <c r="E47" s="293" t="s">
        <v>482</v>
      </c>
      <c r="F47" s="294"/>
      <c r="G47" s="3">
        <f>(Vinmax*B45*(Step2!$J$9*0.000000001)*f*1000)/6</f>
        <v>1.1323516122407067</v>
      </c>
      <c r="H47" s="41"/>
      <c r="I47"/>
    </row>
    <row r="48" spans="1:9" ht="12.75">
      <c r="A48" s="3" t="s">
        <v>470</v>
      </c>
      <c r="B48" s="198">
        <f>SQRT((B43^2+B43*B44+B44^2)*DCmax/3)</f>
        <v>2.693644727042249</v>
      </c>
      <c r="C48" s="4"/>
      <c r="E48" s="293" t="s">
        <v>478</v>
      </c>
      <c r="F48" s="294"/>
      <c r="G48" s="3">
        <f>SUM(G46:G47)</f>
        <v>1.3180835503210262</v>
      </c>
      <c r="H48" s="41"/>
      <c r="I48"/>
    </row>
    <row r="49" spans="1:9" ht="12.75">
      <c r="A49" s="3" t="s">
        <v>471</v>
      </c>
      <c r="B49" s="9">
        <f>SQRT((B46^2+B46*B47+B47^2)*DCmin/3)</f>
        <v>1.8899121778554009</v>
      </c>
      <c r="C49" s="4"/>
      <c r="H49" s="41"/>
      <c r="I49"/>
    </row>
    <row r="50" spans="3:9" ht="12.75">
      <c r="C50" s="4"/>
      <c r="H50" s="41"/>
      <c r="I50"/>
    </row>
    <row r="51" spans="3:10" s="85" customFormat="1" ht="12.75">
      <c r="C51" s="87"/>
      <c r="H51" s="88"/>
      <c r="I51" s="89"/>
      <c r="J51" s="86"/>
    </row>
    <row r="52" spans="3:10" s="176" customFormat="1" ht="12.75">
      <c r="C52" s="13"/>
      <c r="H52" s="177"/>
      <c r="I52" s="123"/>
      <c r="J52" s="178"/>
    </row>
    <row r="53" spans="1:10" s="176" customFormat="1" ht="12.75">
      <c r="A53" s="31" t="s">
        <v>474</v>
      </c>
      <c r="C53" s="13"/>
      <c r="H53" s="177"/>
      <c r="I53" s="123"/>
      <c r="J53" s="178"/>
    </row>
    <row r="54" spans="1:14" s="176" customFormat="1" ht="12.75">
      <c r="A54" s="3" t="s">
        <v>7</v>
      </c>
      <c r="B54" s="3" t="s">
        <v>524</v>
      </c>
      <c r="C54" s="13"/>
      <c r="D54" s="176" t="s">
        <v>26</v>
      </c>
      <c r="E54" s="176" t="s">
        <v>505</v>
      </c>
      <c r="F54" s="176" t="s">
        <v>506</v>
      </c>
      <c r="G54" s="176" t="s">
        <v>507</v>
      </c>
      <c r="H54" s="176" t="s">
        <v>501</v>
      </c>
      <c r="I54" s="176" t="s">
        <v>503</v>
      </c>
      <c r="J54" s="176" t="s">
        <v>502</v>
      </c>
      <c r="K54" s="176" t="s">
        <v>504</v>
      </c>
      <c r="L54" s="178" t="s">
        <v>521</v>
      </c>
      <c r="M54" s="176" t="s">
        <v>522</v>
      </c>
      <c r="N54" s="207" t="s">
        <v>523</v>
      </c>
    </row>
    <row r="55" spans="1:15" s="176" customFormat="1" ht="12.75">
      <c r="A55" s="7">
        <f>Data2!A4</f>
        <v>33</v>
      </c>
      <c r="B55" s="3">
        <f>N55</f>
        <v>4.35437857798243</v>
      </c>
      <c r="C55" s="13"/>
      <c r="D55" s="197">
        <f>D21</f>
        <v>0.626756261453879</v>
      </c>
      <c r="E55" s="176">
        <f aca="true" t="shared" si="15" ref="E55:E65">D55/(f*1000)</f>
        <v>1.7907321755825113E-06</v>
      </c>
      <c r="F55" s="176">
        <f aca="true" t="shared" si="16" ref="F55:F65">(1-D55)/(f*1000)</f>
        <v>1.0664106815603457E-06</v>
      </c>
      <c r="G55" s="176">
        <f aca="true" t="shared" si="17" ref="G55:G65">1/(f*1000)</f>
        <v>2.8571428571428573E-06</v>
      </c>
      <c r="H55" s="197">
        <f aca="true" t="shared" si="18" ref="H55:H65">Imagll</f>
        <v>0.4924513482851906</v>
      </c>
      <c r="I55" s="197">
        <f aca="true" t="shared" si="19" ref="I55:I65">Vout1*(1-D55)/f/(Lout*0.001)</f>
        <v>2.3461034994327608</v>
      </c>
      <c r="J55" s="197">
        <f aca="true" t="shared" si="20" ref="J55:J65">(Iout1-I55/2)/NpNs1+A55*(D55/f)/(Lmag*0.001)</f>
        <v>5.296942723332461</v>
      </c>
      <c r="K55" s="197">
        <f aca="true" t="shared" si="21" ref="K55:K65">(Iout1+I55/2)/NpNs1+A55*(D55/f)/(Lmag*0.001)</f>
        <v>5.687959973237921</v>
      </c>
      <c r="L55" s="200">
        <f>(K55^2+K55*J55+J55^2)*D55/3</f>
        <v>18.915355442453546</v>
      </c>
      <c r="M55" s="197">
        <f>H55^2*(1-D55)/2</f>
        <v>0.04525735793874411</v>
      </c>
      <c r="N55" s="176">
        <f>SQRT(L55+M55)</f>
        <v>4.35437857798243</v>
      </c>
      <c r="O55" s="197"/>
    </row>
    <row r="56" spans="1:15" s="176" customFormat="1" ht="12.75">
      <c r="A56" s="7">
        <f>Data2!A5</f>
        <v>37.3</v>
      </c>
      <c r="B56" s="3">
        <f aca="true" t="shared" si="22" ref="B56:B65">N56</f>
        <v>2.035976362459719</v>
      </c>
      <c r="C56" s="13"/>
      <c r="D56" s="197">
        <f aca="true" t="shared" si="23" ref="D56:D64">D22</f>
        <v>0.5545028586589278</v>
      </c>
      <c r="E56" s="176">
        <f t="shared" si="15"/>
        <v>1.5842938818826508E-06</v>
      </c>
      <c r="F56" s="176">
        <f t="shared" si="16"/>
        <v>1.2728489752602064E-06</v>
      </c>
      <c r="G56" s="176">
        <f t="shared" si="17"/>
        <v>2.8571428571428573E-06</v>
      </c>
      <c r="H56" s="197">
        <f t="shared" si="18"/>
        <v>0.4924513482851906</v>
      </c>
      <c r="I56" s="197">
        <f t="shared" si="19"/>
        <v>2.800267745572454</v>
      </c>
      <c r="J56" s="197">
        <f t="shared" si="20"/>
        <v>5.25909570282082</v>
      </c>
      <c r="K56" s="197">
        <f t="shared" si="21"/>
        <v>5.725806993749562</v>
      </c>
      <c r="L56" s="200">
        <f aca="true" t="shared" si="24" ref="L56:L64">SQRT((K56^2+K56*J56+J56^2)*D56/3)</f>
        <v>4.091181364516196</v>
      </c>
      <c r="M56" s="197">
        <f aca="true" t="shared" si="25" ref="M56:M65">H56^2*(1-D56)/2</f>
        <v>0.054018383978513274</v>
      </c>
      <c r="N56" s="176">
        <f aca="true" t="shared" si="26" ref="N56:N65">SQRT(L56+M56)</f>
        <v>2.035976362459719</v>
      </c>
      <c r="O56" s="197"/>
    </row>
    <row r="57" spans="1:15" s="176" customFormat="1" ht="12.75">
      <c r="A57" s="7">
        <f>Data2!A6</f>
        <v>41.599999999999994</v>
      </c>
      <c r="B57" s="3">
        <f t="shared" si="22"/>
        <v>1.9837487923838664</v>
      </c>
      <c r="C57" s="13"/>
      <c r="D57" s="197">
        <f t="shared" si="23"/>
        <v>0.49718645740331746</v>
      </c>
      <c r="E57" s="176">
        <f t="shared" si="15"/>
        <v>1.42053273543805E-06</v>
      </c>
      <c r="F57" s="176">
        <f t="shared" si="16"/>
        <v>1.4366101217048073E-06</v>
      </c>
      <c r="G57" s="176">
        <f t="shared" si="17"/>
        <v>2.8571428571428573E-06</v>
      </c>
      <c r="H57" s="197">
        <f t="shared" si="18"/>
        <v>0.4924513482851906</v>
      </c>
      <c r="I57" s="197">
        <f t="shared" si="19"/>
        <v>3.160542267750576</v>
      </c>
      <c r="J57" s="197">
        <f t="shared" si="20"/>
        <v>5.229072825972643</v>
      </c>
      <c r="K57" s="197">
        <f t="shared" si="21"/>
        <v>5.755829870597739</v>
      </c>
      <c r="L57" s="200">
        <f t="shared" si="24"/>
        <v>3.874291034918618</v>
      </c>
      <c r="M57" s="197">
        <f t="shared" si="25"/>
        <v>0.06096823636583016</v>
      </c>
      <c r="N57" s="176">
        <f t="shared" si="26"/>
        <v>1.9837487923838664</v>
      </c>
      <c r="O57" s="197"/>
    </row>
    <row r="58" spans="1:15" s="176" customFormat="1" ht="12.75">
      <c r="A58" s="7">
        <f>Data2!A7</f>
        <v>45.89999999999999</v>
      </c>
      <c r="B58" s="3">
        <f t="shared" si="22"/>
        <v>1.9378450535483536</v>
      </c>
      <c r="C58" s="13"/>
      <c r="D58" s="197">
        <f t="shared" si="23"/>
        <v>0.450609076862266</v>
      </c>
      <c r="E58" s="176">
        <f t="shared" si="15"/>
        <v>1.28745450532076E-06</v>
      </c>
      <c r="F58" s="176">
        <f t="shared" si="16"/>
        <v>1.5696883518220973E-06</v>
      </c>
      <c r="G58" s="176">
        <f t="shared" si="17"/>
        <v>2.8571428571428573E-06</v>
      </c>
      <c r="H58" s="197">
        <f t="shared" si="18"/>
        <v>0.4924513482851906</v>
      </c>
      <c r="I58" s="197">
        <f t="shared" si="19"/>
        <v>3.453314374008614</v>
      </c>
      <c r="J58" s="197">
        <f t="shared" si="20"/>
        <v>5.2046751504511395</v>
      </c>
      <c r="K58" s="197">
        <f t="shared" si="21"/>
        <v>5.780227546119242</v>
      </c>
      <c r="L58" s="200">
        <f t="shared" si="24"/>
        <v>3.6886275138006335</v>
      </c>
      <c r="M58" s="197">
        <f t="shared" si="25"/>
        <v>0.06661593776118789</v>
      </c>
      <c r="N58" s="176">
        <f t="shared" si="26"/>
        <v>1.9378450535483536</v>
      </c>
      <c r="O58" s="197"/>
    </row>
    <row r="59" spans="1:15" s="176" customFormat="1" ht="12.75">
      <c r="A59" s="7">
        <f>Data2!A8</f>
        <v>50.19999999999999</v>
      </c>
      <c r="B59" s="3">
        <f t="shared" si="22"/>
        <v>1.8970089321213153</v>
      </c>
      <c r="C59" s="13"/>
      <c r="D59" s="197">
        <f t="shared" si="23"/>
        <v>0.41201108820673327</v>
      </c>
      <c r="E59" s="176">
        <f t="shared" si="15"/>
        <v>1.1771745377335235E-06</v>
      </c>
      <c r="F59" s="176">
        <f t="shared" si="16"/>
        <v>1.6799683194093335E-06</v>
      </c>
      <c r="G59" s="176">
        <f t="shared" si="17"/>
        <v>2.8571428571428573E-06</v>
      </c>
      <c r="H59" s="197">
        <f t="shared" si="18"/>
        <v>0.4924513482851906</v>
      </c>
      <c r="I59" s="197">
        <f t="shared" si="19"/>
        <v>3.6959303027005337</v>
      </c>
      <c r="J59" s="197">
        <f t="shared" si="20"/>
        <v>5.18445715639348</v>
      </c>
      <c r="K59" s="197">
        <f t="shared" si="21"/>
        <v>5.800445540176902</v>
      </c>
      <c r="L59" s="200">
        <f t="shared" si="24"/>
        <v>3.5273467838935013</v>
      </c>
      <c r="M59" s="197">
        <f t="shared" si="25"/>
        <v>0.07129610465455205</v>
      </c>
      <c r="N59" s="176">
        <f t="shared" si="26"/>
        <v>1.8970089321213153</v>
      </c>
      <c r="O59" s="197"/>
    </row>
    <row r="60" spans="1:15" s="176" customFormat="1" ht="12.75">
      <c r="A60" s="7">
        <f>Data2!A9</f>
        <v>54.499999999999986</v>
      </c>
      <c r="B60" s="3">
        <f t="shared" si="22"/>
        <v>1.8603158401309496</v>
      </c>
      <c r="C60" s="13"/>
      <c r="D60" s="197">
        <f t="shared" si="23"/>
        <v>0.3795037913390461</v>
      </c>
      <c r="E60" s="176">
        <f t="shared" si="15"/>
        <v>1.0842965466829888E-06</v>
      </c>
      <c r="F60" s="176">
        <f t="shared" si="16"/>
        <v>1.7728463104598682E-06</v>
      </c>
      <c r="G60" s="176">
        <f t="shared" si="17"/>
        <v>2.8571428571428573E-06</v>
      </c>
      <c r="H60" s="197">
        <f t="shared" si="18"/>
        <v>0.4924513482851906</v>
      </c>
      <c r="I60" s="197">
        <f t="shared" si="19"/>
        <v>3.9002618830117104</v>
      </c>
      <c r="J60" s="197">
        <f t="shared" si="20"/>
        <v>5.167429524700882</v>
      </c>
      <c r="K60" s="197">
        <f t="shared" si="21"/>
        <v>5.8174731718695</v>
      </c>
      <c r="L60" s="200">
        <f t="shared" si="24"/>
        <v>3.3855372752425157</v>
      </c>
      <c r="M60" s="197">
        <f t="shared" si="25"/>
        <v>0.07523774979960554</v>
      </c>
      <c r="N60" s="176">
        <f t="shared" si="26"/>
        <v>1.8603158401309496</v>
      </c>
      <c r="O60" s="197"/>
    </row>
    <row r="61" spans="1:15" s="176" customFormat="1" ht="12.75">
      <c r="A61" s="7">
        <f>Data2!A10</f>
        <v>58.79999999999998</v>
      </c>
      <c r="B61" s="3">
        <f t="shared" si="22"/>
        <v>1.8270668047995724</v>
      </c>
      <c r="C61" s="13"/>
      <c r="D61" s="197">
        <f t="shared" si="23"/>
        <v>0.3517509630608505</v>
      </c>
      <c r="E61" s="176">
        <f t="shared" si="15"/>
        <v>1.00500275160243E-06</v>
      </c>
      <c r="F61" s="176">
        <f t="shared" si="16"/>
        <v>1.852140105540427E-06</v>
      </c>
      <c r="G61" s="176">
        <f t="shared" si="17"/>
        <v>2.8571428571428573E-06</v>
      </c>
      <c r="H61" s="197">
        <f t="shared" si="18"/>
        <v>0.4924513482851906</v>
      </c>
      <c r="I61" s="197">
        <f t="shared" si="19"/>
        <v>4.074708232188939</v>
      </c>
      <c r="J61" s="197">
        <f t="shared" si="20"/>
        <v>5.152892328936113</v>
      </c>
      <c r="K61" s="197">
        <f t="shared" si="21"/>
        <v>5.832010367634269</v>
      </c>
      <c r="L61" s="200">
        <f t="shared" si="24"/>
        <v>3.2595702133757145</v>
      </c>
      <c r="M61" s="197">
        <f t="shared" si="25"/>
        <v>0.07860289582480429</v>
      </c>
      <c r="N61" s="176">
        <f t="shared" si="26"/>
        <v>1.8270668047995724</v>
      </c>
      <c r="O61" s="197"/>
    </row>
    <row r="62" spans="1:15" s="176" customFormat="1" ht="12.75">
      <c r="A62" s="7">
        <f>Data2!A11</f>
        <v>63.09999999999998</v>
      </c>
      <c r="B62" s="3">
        <f t="shared" si="22"/>
        <v>1.7967214329968149</v>
      </c>
      <c r="C62" s="13"/>
      <c r="D62" s="197">
        <f t="shared" si="23"/>
        <v>0.32778061217080845</v>
      </c>
      <c r="E62" s="176">
        <f t="shared" si="15"/>
        <v>9.365160347737384E-07</v>
      </c>
      <c r="F62" s="176">
        <f t="shared" si="16"/>
        <v>1.9206268223691187E-06</v>
      </c>
      <c r="G62" s="176">
        <f t="shared" si="17"/>
        <v>2.8571428571428573E-06</v>
      </c>
      <c r="H62" s="197">
        <f t="shared" si="18"/>
        <v>0.4924513482851906</v>
      </c>
      <c r="I62" s="197">
        <f t="shared" si="19"/>
        <v>4.225379009212061</v>
      </c>
      <c r="J62" s="197">
        <f t="shared" si="20"/>
        <v>5.140336430850852</v>
      </c>
      <c r="K62" s="197">
        <f t="shared" si="21"/>
        <v>5.844566265719529</v>
      </c>
      <c r="L62" s="200">
        <f t="shared" si="24"/>
        <v>3.1466985070782663</v>
      </c>
      <c r="M62" s="197">
        <f t="shared" si="25"/>
        <v>0.08150940071186183</v>
      </c>
      <c r="N62" s="176">
        <f t="shared" si="26"/>
        <v>1.7967214329968149</v>
      </c>
      <c r="O62" s="197"/>
    </row>
    <row r="63" spans="1:15" s="176" customFormat="1" ht="12.75">
      <c r="A63" s="7">
        <f>Data2!A12</f>
        <v>67.39999999999998</v>
      </c>
      <c r="B63" s="3">
        <f t="shared" si="22"/>
        <v>1.7688538938175087</v>
      </c>
      <c r="C63" s="13"/>
      <c r="D63" s="197">
        <f t="shared" si="23"/>
        <v>0.3068687926999705</v>
      </c>
      <c r="E63" s="176">
        <f t="shared" si="15"/>
        <v>8.767679791427729E-07</v>
      </c>
      <c r="F63" s="176">
        <f t="shared" si="16"/>
        <v>1.9803748780000845E-06</v>
      </c>
      <c r="G63" s="176">
        <f t="shared" si="17"/>
        <v>2.8571428571428573E-06</v>
      </c>
      <c r="H63" s="197">
        <f t="shared" si="18"/>
        <v>0.4924513482851906</v>
      </c>
      <c r="I63" s="197">
        <f t="shared" si="19"/>
        <v>4.3568247316001845</v>
      </c>
      <c r="J63" s="197">
        <f t="shared" si="20"/>
        <v>5.1293826206518425</v>
      </c>
      <c r="K63" s="197">
        <f t="shared" si="21"/>
        <v>5.855520075918539</v>
      </c>
      <c r="L63" s="200">
        <f t="shared" si="24"/>
        <v>3.044799051748459</v>
      </c>
      <c r="M63" s="197">
        <f t="shared" si="25"/>
        <v>0.08404504592490314</v>
      </c>
      <c r="N63" s="176">
        <f t="shared" si="26"/>
        <v>1.7688538938175087</v>
      </c>
      <c r="O63" s="197"/>
    </row>
    <row r="64" spans="1:15" s="176" customFormat="1" ht="12.75">
      <c r="A64" s="7">
        <f>Data2!A13</f>
        <v>71.69999999999997</v>
      </c>
      <c r="B64" s="3">
        <f t="shared" si="22"/>
        <v>1.7431230804109505</v>
      </c>
      <c r="C64" s="13"/>
      <c r="D64" s="197">
        <f t="shared" si="23"/>
        <v>0.28846522493693183</v>
      </c>
      <c r="E64" s="176">
        <f t="shared" si="15"/>
        <v>8.241863569626624E-07</v>
      </c>
      <c r="F64" s="176">
        <f t="shared" si="16"/>
        <v>2.032956500180195E-06</v>
      </c>
      <c r="G64" s="176">
        <f t="shared" si="17"/>
        <v>2.8571428571428573E-06</v>
      </c>
      <c r="H64" s="197">
        <f t="shared" si="18"/>
        <v>0.4924513482851906</v>
      </c>
      <c r="I64" s="197">
        <f t="shared" si="19"/>
        <v>4.4725043003964275</v>
      </c>
      <c r="J64" s="197">
        <f t="shared" si="20"/>
        <v>5.119742656585489</v>
      </c>
      <c r="K64" s="197">
        <f t="shared" si="21"/>
        <v>5.865160039984893</v>
      </c>
      <c r="L64" s="200">
        <f t="shared" si="24"/>
        <v>2.952201518290393</v>
      </c>
      <c r="M64" s="197">
        <f t="shared" si="25"/>
        <v>0.08627655517096876</v>
      </c>
      <c r="N64" s="176">
        <f t="shared" si="26"/>
        <v>1.7431230804109505</v>
      </c>
      <c r="O64" s="197"/>
    </row>
    <row r="65" spans="1:15" s="176" customFormat="1" ht="12.75">
      <c r="A65" s="7">
        <f>Data2!A14</f>
        <v>75.99999999999997</v>
      </c>
      <c r="B65" s="3">
        <f t="shared" si="22"/>
        <v>1.717095200983757</v>
      </c>
      <c r="C65" s="13"/>
      <c r="D65" s="197">
        <f>DCmin</f>
        <v>0.27092685503036706</v>
      </c>
      <c r="E65" s="176">
        <f t="shared" si="15"/>
        <v>7.740767286581916E-07</v>
      </c>
      <c r="F65" s="176">
        <f t="shared" si="16"/>
        <v>2.0830661284846654E-06</v>
      </c>
      <c r="G65" s="176">
        <f t="shared" si="17"/>
        <v>2.8571428571428573E-06</v>
      </c>
      <c r="H65" s="197">
        <f t="shared" si="18"/>
        <v>0.4924513482851906</v>
      </c>
      <c r="I65" s="197">
        <f t="shared" si="19"/>
        <v>4.582745482666264</v>
      </c>
      <c r="J65" s="197">
        <f t="shared" si="20"/>
        <v>5.108353137928</v>
      </c>
      <c r="K65" s="197">
        <f t="shared" si="21"/>
        <v>5.87214405170571</v>
      </c>
      <c r="L65" s="200">
        <f>SQRT((K65^2+K65*J65+J65^2)*D65/3)</f>
        <v>2.860012773668246</v>
      </c>
      <c r="M65" s="197">
        <f t="shared" si="25"/>
        <v>0.08840315557320276</v>
      </c>
      <c r="N65" s="176">
        <f t="shared" si="26"/>
        <v>1.717095200983757</v>
      </c>
      <c r="O65" s="197"/>
    </row>
    <row r="66" spans="3:10" s="176" customFormat="1" ht="12.75">
      <c r="C66" s="13"/>
      <c r="H66" s="177"/>
      <c r="I66" s="123"/>
      <c r="J66" s="178"/>
    </row>
    <row r="67" spans="3:10" s="85" customFormat="1" ht="12.75">
      <c r="C67" s="87"/>
      <c r="H67" s="88"/>
      <c r="I67" s="89"/>
      <c r="J67" s="86"/>
    </row>
    <row r="68" spans="3:9" ht="12.75">
      <c r="C68" s="80"/>
      <c r="H68" s="41"/>
      <c r="I68"/>
    </row>
    <row r="69" spans="1:10" ht="12.75">
      <c r="A69" s="31" t="s">
        <v>119</v>
      </c>
      <c r="B69" s="236"/>
      <c r="C69" s="32"/>
      <c r="D69" s="30"/>
      <c r="E69" s="32"/>
      <c r="F69" s="30"/>
      <c r="G69" s="32"/>
      <c r="H69" s="41"/>
      <c r="I69"/>
      <c r="J69" s="30"/>
    </row>
    <row r="70" spans="1:13" ht="12.75">
      <c r="A70" s="42" t="s">
        <v>7</v>
      </c>
      <c r="B70" s="33" t="s">
        <v>525</v>
      </c>
      <c r="C70" s="43" t="s">
        <v>529</v>
      </c>
      <c r="D70" s="43" t="s">
        <v>26</v>
      </c>
      <c r="E70" s="42" t="s">
        <v>27</v>
      </c>
      <c r="F70" s="42" t="s">
        <v>28</v>
      </c>
      <c r="G70" s="42" t="s">
        <v>100</v>
      </c>
      <c r="H70" s="42" t="s">
        <v>101</v>
      </c>
      <c r="I70" s="44" t="s">
        <v>29</v>
      </c>
      <c r="J70" s="45" t="s">
        <v>102</v>
      </c>
      <c r="K70" s="45" t="s">
        <v>103</v>
      </c>
      <c r="L70" s="33" t="s">
        <v>105</v>
      </c>
      <c r="M70" s="33" t="s">
        <v>104</v>
      </c>
    </row>
    <row r="71" spans="1:14" ht="12.75">
      <c r="A71" s="5">
        <f>A4</f>
        <v>33</v>
      </c>
      <c r="B71" s="9">
        <f>A71/NpNs1</f>
        <v>5.5</v>
      </c>
      <c r="C71" s="9">
        <f aca="true" t="shared" si="27" ref="C71:C81">(E21-A71)/NpNs1</f>
        <v>9.235679214402616</v>
      </c>
      <c r="D71" s="9">
        <f aca="true" t="shared" si="28" ref="D71:D81">D4</f>
        <v>0.65</v>
      </c>
      <c r="E71" s="9">
        <f>Iout1^2*D71*rdson1*0.001</f>
        <v>2.5155</v>
      </c>
      <c r="F71" s="9">
        <f>Iout1^2*(1-D71)*rdson1*0.001</f>
        <v>1.3545</v>
      </c>
      <c r="G71" s="9">
        <f aca="true" t="shared" si="29" ref="G71:G81">f*1000*Qgate1*B71*0.000000001</f>
        <v>0.075075</v>
      </c>
      <c r="H71" s="9">
        <f aca="true" t="shared" si="30" ref="H71:H81">f*1000*Qgate1*C71*0.000000001</f>
        <v>0.12606702127659572</v>
      </c>
      <c r="I71" s="9">
        <f aca="true" t="shared" si="31" ref="I71:I81">2*f*1000*Qrr1*0.000000001*C71</f>
        <v>0.11636955810147297</v>
      </c>
      <c r="J71" s="9">
        <f aca="true" t="shared" si="32" ref="J71:K81">Vbd*Iout1*f*td*0.000001</f>
        <v>0.735</v>
      </c>
      <c r="K71" s="9">
        <f t="shared" si="32"/>
        <v>0.735</v>
      </c>
      <c r="L71" s="9">
        <f>E71+G71+I71/2+J71</f>
        <v>3.3837597790507363</v>
      </c>
      <c r="M71" s="9">
        <f>F71+H71+I71/2+K71</f>
        <v>2.2737518003273323</v>
      </c>
      <c r="N71" s="80"/>
    </row>
    <row r="72" spans="1:14" ht="12.75">
      <c r="A72" s="7">
        <f>(Step1!$B$7-Step1!$B$8)/10+A71</f>
        <v>37.3</v>
      </c>
      <c r="B72" s="9">
        <f aca="true" t="shared" si="33" ref="B72:B81">A72/NpNs1</f>
        <v>6.216666666666666</v>
      </c>
      <c r="C72" s="9">
        <f t="shared" si="27"/>
        <v>7.737781274239855</v>
      </c>
      <c r="D72" s="9">
        <f t="shared" si="28"/>
        <v>0.5750670241286864</v>
      </c>
      <c r="E72" s="9">
        <f aca="true" t="shared" si="34" ref="E72:E81">Iout1^2*D72*rdson1*0.001</f>
        <v>2.225509383378016</v>
      </c>
      <c r="F72" s="9">
        <f aca="true" t="shared" si="35" ref="F72:F81">Iout1^2*(1-D72)*rdson1*0.001</f>
        <v>1.6444906166219837</v>
      </c>
      <c r="G72" s="9">
        <f t="shared" si="29"/>
        <v>0.08485749999999999</v>
      </c>
      <c r="H72" s="9">
        <f t="shared" si="30"/>
        <v>0.10562071439337403</v>
      </c>
      <c r="I72" s="9">
        <f t="shared" si="31"/>
        <v>0.09749604405542217</v>
      </c>
      <c r="J72" s="9">
        <f t="shared" si="32"/>
        <v>0.735</v>
      </c>
      <c r="K72" s="9">
        <f t="shared" si="32"/>
        <v>0.735</v>
      </c>
      <c r="L72" s="9">
        <f aca="true" t="shared" si="36" ref="L72:L81">E72+G72+I72/2+J72</f>
        <v>3.094114905405727</v>
      </c>
      <c r="M72" s="9">
        <f aca="true" t="shared" si="37" ref="M72:M81">F72+H72+I72/2+K72</f>
        <v>2.5338593530430686</v>
      </c>
      <c r="N72" s="80"/>
    </row>
    <row r="73" spans="1:14" ht="12.75">
      <c r="A73" s="7">
        <f>(Step1!$B$7-Step1!$B$8)/10+A72</f>
        <v>41.599999999999994</v>
      </c>
      <c r="B73" s="9">
        <f t="shared" si="33"/>
        <v>6.933333333333333</v>
      </c>
      <c r="C73" s="9">
        <f t="shared" si="27"/>
        <v>6.855741037113184</v>
      </c>
      <c r="D73" s="9">
        <f t="shared" si="28"/>
        <v>0.5156250000000001</v>
      </c>
      <c r="E73" s="9">
        <f t="shared" si="34"/>
        <v>1.9954687500000006</v>
      </c>
      <c r="F73" s="9">
        <f t="shared" si="35"/>
        <v>1.8745312499999995</v>
      </c>
      <c r="G73" s="9">
        <f t="shared" si="29"/>
        <v>0.09463999999999999</v>
      </c>
      <c r="H73" s="9">
        <f t="shared" si="30"/>
        <v>0.09358086515659497</v>
      </c>
      <c r="I73" s="9">
        <f t="shared" si="31"/>
        <v>0.08638233706762612</v>
      </c>
      <c r="J73" s="9">
        <f t="shared" si="32"/>
        <v>0.735</v>
      </c>
      <c r="K73" s="9">
        <f t="shared" si="32"/>
        <v>0.735</v>
      </c>
      <c r="L73" s="9">
        <f t="shared" si="36"/>
        <v>2.8682999185338134</v>
      </c>
      <c r="M73" s="9">
        <f t="shared" si="37"/>
        <v>2.7463032836904073</v>
      </c>
      <c r="N73" s="80"/>
    </row>
    <row r="74" spans="1:14" ht="12.75">
      <c r="A74" s="7">
        <f>(Step1!$B$7-Step1!$B$8)/10+A73</f>
        <v>45.89999999999999</v>
      </c>
      <c r="B74" s="9">
        <f t="shared" si="33"/>
        <v>7.649999999999999</v>
      </c>
      <c r="C74" s="9">
        <f t="shared" si="27"/>
        <v>6.274511086401986</v>
      </c>
      <c r="D74" s="9">
        <f t="shared" si="28"/>
        <v>0.4673202614379086</v>
      </c>
      <c r="E74" s="9">
        <f t="shared" si="34"/>
        <v>1.8085294117647062</v>
      </c>
      <c r="F74" s="9">
        <f t="shared" si="35"/>
        <v>2.0614705882352937</v>
      </c>
      <c r="G74" s="9">
        <f t="shared" si="29"/>
        <v>0.10442249999999999</v>
      </c>
      <c r="H74" s="9">
        <f t="shared" si="30"/>
        <v>0.08564707632938712</v>
      </c>
      <c r="I74" s="9">
        <f t="shared" si="31"/>
        <v>0.07905883968866503</v>
      </c>
      <c r="J74" s="9">
        <f t="shared" si="32"/>
        <v>0.735</v>
      </c>
      <c r="K74" s="9">
        <f t="shared" si="32"/>
        <v>0.735</v>
      </c>
      <c r="L74" s="9">
        <f t="shared" si="36"/>
        <v>2.687481331609039</v>
      </c>
      <c r="M74" s="9">
        <f t="shared" si="37"/>
        <v>2.921647084409013</v>
      </c>
      <c r="N74" s="80"/>
    </row>
    <row r="75" spans="1:14" ht="12.75">
      <c r="A75" s="7">
        <f>(Step1!$B$7-Step1!$B$8)/10+A74</f>
        <v>50.19999999999999</v>
      </c>
      <c r="B75" s="9">
        <f t="shared" si="33"/>
        <v>8.366666666666665</v>
      </c>
      <c r="C75" s="9">
        <f t="shared" si="27"/>
        <v>5.862626605462815</v>
      </c>
      <c r="D75" s="9">
        <f t="shared" si="28"/>
        <v>0.4272908366533866</v>
      </c>
      <c r="E75" s="9">
        <f t="shared" si="34"/>
        <v>1.653615537848606</v>
      </c>
      <c r="F75" s="9">
        <f t="shared" si="35"/>
        <v>2.216384462151394</v>
      </c>
      <c r="G75" s="9">
        <f t="shared" si="29"/>
        <v>0.11420499999999999</v>
      </c>
      <c r="H75" s="9">
        <f t="shared" si="30"/>
        <v>0.08002485316456744</v>
      </c>
      <c r="I75" s="9">
        <f t="shared" si="31"/>
        <v>0.07386909522883146</v>
      </c>
      <c r="J75" s="9">
        <f t="shared" si="32"/>
        <v>0.735</v>
      </c>
      <c r="K75" s="9">
        <f t="shared" si="32"/>
        <v>0.735</v>
      </c>
      <c r="L75" s="9">
        <f t="shared" si="36"/>
        <v>2.5397550854630215</v>
      </c>
      <c r="M75" s="9">
        <f t="shared" si="37"/>
        <v>3.068343862930377</v>
      </c>
      <c r="N75" s="80"/>
    </row>
    <row r="76" spans="1:14" ht="12.75">
      <c r="A76" s="7">
        <f>(Step1!$B$7-Step1!$B$8)/10+A75</f>
        <v>54.499999999999986</v>
      </c>
      <c r="B76" s="9">
        <f t="shared" si="33"/>
        <v>9.08333333333333</v>
      </c>
      <c r="C76" s="9">
        <f t="shared" si="27"/>
        <v>5.555488317060615</v>
      </c>
      <c r="D76" s="9">
        <f t="shared" si="28"/>
        <v>0.39357798165137625</v>
      </c>
      <c r="E76" s="9">
        <f t="shared" si="34"/>
        <v>1.5231467889908261</v>
      </c>
      <c r="F76" s="9">
        <f t="shared" si="35"/>
        <v>2.346853211009174</v>
      </c>
      <c r="G76" s="9">
        <f t="shared" si="29"/>
        <v>0.12398749999999996</v>
      </c>
      <c r="H76" s="9">
        <f t="shared" si="30"/>
        <v>0.0758324155278774</v>
      </c>
      <c r="I76" s="9">
        <f t="shared" si="31"/>
        <v>0.06999915279496374</v>
      </c>
      <c r="J76" s="9">
        <f t="shared" si="32"/>
        <v>0.735</v>
      </c>
      <c r="K76" s="9">
        <f t="shared" si="32"/>
        <v>0.735</v>
      </c>
      <c r="L76" s="9">
        <f t="shared" si="36"/>
        <v>2.417133865388308</v>
      </c>
      <c r="M76" s="9">
        <f t="shared" si="37"/>
        <v>3.192685202934533</v>
      </c>
      <c r="N76" s="80"/>
    </row>
    <row r="77" spans="1:14" ht="12.75">
      <c r="A77" s="7">
        <f>(Step1!$B$7-Step1!$B$8)/10+A76</f>
        <v>58.79999999999998</v>
      </c>
      <c r="B77" s="9">
        <f t="shared" si="33"/>
        <v>9.799999999999997</v>
      </c>
      <c r="C77" s="9">
        <f t="shared" si="27"/>
        <v>5.317646832570482</v>
      </c>
      <c r="D77" s="9">
        <f t="shared" si="28"/>
        <v>0.36479591836734704</v>
      </c>
      <c r="E77" s="9">
        <f t="shared" si="34"/>
        <v>1.411760204081633</v>
      </c>
      <c r="F77" s="9">
        <f t="shared" si="35"/>
        <v>2.4582397959183675</v>
      </c>
      <c r="G77" s="9">
        <f t="shared" si="29"/>
        <v>0.13376999999999997</v>
      </c>
      <c r="H77" s="9">
        <f t="shared" si="30"/>
        <v>0.07258587926458708</v>
      </c>
      <c r="I77" s="9">
        <f t="shared" si="31"/>
        <v>0.06700235009038807</v>
      </c>
      <c r="J77" s="9">
        <f t="shared" si="32"/>
        <v>0.735</v>
      </c>
      <c r="K77" s="9">
        <f t="shared" si="32"/>
        <v>0.735</v>
      </c>
      <c r="L77" s="9">
        <f t="shared" si="36"/>
        <v>2.314031379126827</v>
      </c>
      <c r="M77" s="9">
        <f t="shared" si="37"/>
        <v>3.2993268502281485</v>
      </c>
      <c r="N77" s="80"/>
    </row>
    <row r="78" spans="1:14" ht="12.75">
      <c r="A78" s="7">
        <f>(Step1!$B$7-Step1!$B$8)/10+A77</f>
        <v>63.09999999999998</v>
      </c>
      <c r="B78" s="9">
        <f t="shared" si="33"/>
        <v>10.516666666666664</v>
      </c>
      <c r="C78" s="9">
        <f t="shared" si="27"/>
        <v>5.128027397615381</v>
      </c>
      <c r="D78" s="9">
        <f t="shared" si="28"/>
        <v>0.3399366085578448</v>
      </c>
      <c r="E78" s="9">
        <f t="shared" si="34"/>
        <v>1.3155546751188594</v>
      </c>
      <c r="F78" s="9">
        <f t="shared" si="35"/>
        <v>2.5544453248811405</v>
      </c>
      <c r="G78" s="9">
        <f t="shared" si="29"/>
        <v>0.14355249999999997</v>
      </c>
      <c r="H78" s="9">
        <f t="shared" si="30"/>
        <v>0.06999757397744996</v>
      </c>
      <c r="I78" s="9">
        <f t="shared" si="31"/>
        <v>0.0646131452099538</v>
      </c>
      <c r="J78" s="9">
        <f t="shared" si="32"/>
        <v>0.735</v>
      </c>
      <c r="K78" s="9">
        <f t="shared" si="32"/>
        <v>0.735</v>
      </c>
      <c r="L78" s="9">
        <f t="shared" si="36"/>
        <v>2.226413747723836</v>
      </c>
      <c r="M78" s="9">
        <f t="shared" si="37"/>
        <v>3.391749471463567</v>
      </c>
      <c r="N78" s="80"/>
    </row>
    <row r="79" spans="1:14" ht="12.75">
      <c r="A79" s="7">
        <f>(Step1!$B$7-Step1!$B$8)/10+A78</f>
        <v>67.39999999999998</v>
      </c>
      <c r="B79" s="9">
        <f t="shared" si="33"/>
        <v>11.233333333333329</v>
      </c>
      <c r="C79" s="9">
        <f t="shared" si="27"/>
        <v>4.973314434108566</v>
      </c>
      <c r="D79" s="9">
        <f t="shared" si="28"/>
        <v>0.3182492581602375</v>
      </c>
      <c r="E79" s="9">
        <f t="shared" si="34"/>
        <v>1.2316246290801192</v>
      </c>
      <c r="F79" s="9">
        <f t="shared" si="35"/>
        <v>2.6383753709198805</v>
      </c>
      <c r="G79" s="9">
        <f t="shared" si="29"/>
        <v>0.15333499999999994</v>
      </c>
      <c r="H79" s="9">
        <f t="shared" si="30"/>
        <v>0.06788574202558192</v>
      </c>
      <c r="I79" s="9">
        <f t="shared" si="31"/>
        <v>0.06266376186976794</v>
      </c>
      <c r="J79" s="9">
        <f t="shared" si="32"/>
        <v>0.735</v>
      </c>
      <c r="K79" s="9">
        <f t="shared" si="32"/>
        <v>0.735</v>
      </c>
      <c r="L79" s="9">
        <f t="shared" si="36"/>
        <v>2.151291510015003</v>
      </c>
      <c r="M79" s="9">
        <f t="shared" si="37"/>
        <v>3.472592993880346</v>
      </c>
      <c r="N79" s="80"/>
    </row>
    <row r="80" spans="1:14" ht="12.75">
      <c r="A80" s="7">
        <f>(Step1!$B$7-Step1!$B$8)/10+A79</f>
        <v>71.69999999999997</v>
      </c>
      <c r="B80" s="9">
        <f t="shared" si="33"/>
        <v>11.949999999999996</v>
      </c>
      <c r="C80" s="9">
        <f t="shared" si="27"/>
        <v>4.844681607713113</v>
      </c>
      <c r="D80" s="9">
        <f t="shared" si="28"/>
        <v>0.29916317991631813</v>
      </c>
      <c r="E80" s="9">
        <f t="shared" si="34"/>
        <v>1.157761506276151</v>
      </c>
      <c r="F80" s="9">
        <f t="shared" si="35"/>
        <v>2.712238493723849</v>
      </c>
      <c r="G80" s="9">
        <f t="shared" si="29"/>
        <v>0.16311749999999994</v>
      </c>
      <c r="H80" s="9">
        <f t="shared" si="30"/>
        <v>0.066129903945284</v>
      </c>
      <c r="I80" s="9">
        <f t="shared" si="31"/>
        <v>0.061042988257185224</v>
      </c>
      <c r="J80" s="9">
        <f t="shared" si="32"/>
        <v>0.735</v>
      </c>
      <c r="K80" s="9">
        <f t="shared" si="32"/>
        <v>0.735</v>
      </c>
      <c r="L80" s="9">
        <f t="shared" si="36"/>
        <v>2.0864005004047437</v>
      </c>
      <c r="M80" s="9">
        <f t="shared" si="37"/>
        <v>3.5438898917977255</v>
      </c>
      <c r="N80" s="80"/>
    </row>
    <row r="81" spans="1:14" ht="12.75">
      <c r="A81" s="7">
        <f>(Step1!$B$7-Step1!$B$8)/10+A80</f>
        <v>75.99999999999997</v>
      </c>
      <c r="B81" s="9">
        <f t="shared" si="33"/>
        <v>12.666666666666663</v>
      </c>
      <c r="C81" s="9">
        <f t="shared" si="27"/>
        <v>4.73604699958036</v>
      </c>
      <c r="D81" s="9">
        <f t="shared" si="28"/>
        <v>0.2822368421052633</v>
      </c>
      <c r="E81" s="9">
        <f t="shared" si="34"/>
        <v>1.092256578947369</v>
      </c>
      <c r="F81" s="9">
        <f t="shared" si="35"/>
        <v>2.777743421052631</v>
      </c>
      <c r="G81" s="9">
        <f t="shared" si="29"/>
        <v>0.17289999999999994</v>
      </c>
      <c r="H81" s="9">
        <f t="shared" si="30"/>
        <v>0.06464704154427191</v>
      </c>
      <c r="I81" s="9">
        <f t="shared" si="31"/>
        <v>0.05967419219471253</v>
      </c>
      <c r="J81" s="9">
        <f t="shared" si="32"/>
        <v>0.735</v>
      </c>
      <c r="K81" s="9">
        <f t="shared" si="32"/>
        <v>0.735</v>
      </c>
      <c r="L81" s="9">
        <f t="shared" si="36"/>
        <v>2.029993675044725</v>
      </c>
      <c r="M81" s="9">
        <f t="shared" si="37"/>
        <v>3.6072275586942593</v>
      </c>
      <c r="N81" s="80"/>
    </row>
    <row r="82" spans="1:9" ht="12.75">
      <c r="A82" s="32"/>
      <c r="B82" s="30"/>
      <c r="C82" s="32"/>
      <c r="D82" s="30"/>
      <c r="E82" s="32"/>
      <c r="F82" s="30"/>
      <c r="G82" s="32"/>
      <c r="H82" s="41"/>
      <c r="I82"/>
    </row>
    <row r="83" spans="1:10" s="85" customFormat="1" ht="12.75">
      <c r="A83" s="90"/>
      <c r="B83" s="91"/>
      <c r="C83" s="90"/>
      <c r="D83" s="91"/>
      <c r="E83" s="90"/>
      <c r="F83" s="91"/>
      <c r="G83" s="90"/>
      <c r="H83" s="88"/>
      <c r="I83" s="89"/>
      <c r="J83" s="86"/>
    </row>
    <row r="84" spans="1:9" ht="12.75">
      <c r="A84" s="32"/>
      <c r="B84" s="30"/>
      <c r="C84" s="32"/>
      <c r="D84" s="30"/>
      <c r="E84" s="32"/>
      <c r="F84" s="30"/>
      <c r="G84" s="32"/>
      <c r="H84" s="41"/>
      <c r="I84"/>
    </row>
    <row r="85" spans="1:12" ht="12.75">
      <c r="A85" s="31" t="s">
        <v>171</v>
      </c>
      <c r="B85" s="30"/>
      <c r="C85" s="32"/>
      <c r="D85" s="30"/>
      <c r="E85" s="32"/>
      <c r="F85" s="30"/>
      <c r="G85" s="32"/>
      <c r="H85" s="41"/>
      <c r="I85"/>
      <c r="J85" s="30"/>
      <c r="K85" s="32"/>
      <c r="L85" s="32"/>
    </row>
    <row r="86" spans="1:12" ht="12.75">
      <c r="A86" s="79" t="s">
        <v>108</v>
      </c>
      <c r="B86" s="7">
        <f>(Vinmin)/(1-DCmax)</f>
        <v>88.4140752864157</v>
      </c>
      <c r="C86" s="32"/>
      <c r="D86" s="30"/>
      <c r="E86" s="32"/>
      <c r="F86" s="30"/>
      <c r="G86" s="32"/>
      <c r="H86" s="41"/>
      <c r="I86"/>
      <c r="J86" s="30"/>
      <c r="K86" s="32"/>
      <c r="L86" s="32"/>
    </row>
    <row r="87" spans="1:12" ht="12.75">
      <c r="A87" s="79" t="s">
        <v>111</v>
      </c>
      <c r="B87" s="7">
        <f>(Vinmax)/(1-DCmin)</f>
        <v>104.24194132560666</v>
      </c>
      <c r="C87" s="32"/>
      <c r="D87" s="30"/>
      <c r="E87" s="32"/>
      <c r="F87" s="30"/>
      <c r="G87" s="32"/>
      <c r="H87" s="41"/>
      <c r="I87"/>
      <c r="J87" s="30"/>
      <c r="K87" s="32"/>
      <c r="L87" s="32"/>
    </row>
    <row r="88" spans="1:12" ht="13.5" thickBot="1">
      <c r="A88" s="78"/>
      <c r="B88" s="32"/>
      <c r="C88" s="32"/>
      <c r="D88" s="30"/>
      <c r="E88" s="32"/>
      <c r="F88" s="30"/>
      <c r="G88" s="32"/>
      <c r="H88" s="41"/>
      <c r="I88"/>
      <c r="J88" s="30"/>
      <c r="K88" s="32"/>
      <c r="L88" s="32"/>
    </row>
    <row r="89" spans="1:12" ht="12.75">
      <c r="A89" s="100"/>
      <c r="B89" s="285" t="s">
        <v>109</v>
      </c>
      <c r="C89" s="286"/>
      <c r="D89" s="286"/>
      <c r="E89" s="286"/>
      <c r="F89" s="287"/>
      <c r="G89" s="285" t="s">
        <v>110</v>
      </c>
      <c r="H89" s="286"/>
      <c r="I89" s="286"/>
      <c r="J89" s="286"/>
      <c r="K89" s="287"/>
      <c r="L89" s="32"/>
    </row>
    <row r="90" spans="1:12" s="75" customFormat="1" ht="12.75">
      <c r="A90" s="101" t="s">
        <v>76</v>
      </c>
      <c r="B90" s="92" t="s">
        <v>77</v>
      </c>
      <c r="C90" s="76" t="s">
        <v>79</v>
      </c>
      <c r="D90" s="77" t="s">
        <v>81</v>
      </c>
      <c r="E90" s="76" t="s">
        <v>78</v>
      </c>
      <c r="F90" s="93" t="s">
        <v>107</v>
      </c>
      <c r="G90" s="92" t="s">
        <v>77</v>
      </c>
      <c r="H90" s="76" t="s">
        <v>79</v>
      </c>
      <c r="I90" s="77" t="s">
        <v>81</v>
      </c>
      <c r="J90" s="76" t="s">
        <v>78</v>
      </c>
      <c r="K90" s="93" t="s">
        <v>107</v>
      </c>
      <c r="L90" s="74"/>
    </row>
    <row r="91" spans="1:12" ht="12.75">
      <c r="A91" s="102">
        <f>Step5!C4</f>
        <v>2</v>
      </c>
      <c r="B91" s="94">
        <f aca="true" t="shared" si="38" ref="B91:B101">SQRT((Lmag*0.000001)/(A91*0.000000001))</f>
        <v>244.9489742783178</v>
      </c>
      <c r="C91" s="7">
        <f aca="true" t="shared" si="39" ref="C91:C101">ATAN(-1*B91*Imagll/Vcl1)</f>
        <v>-0.9382879177518623</v>
      </c>
      <c r="D91" s="9">
        <f aca="true" t="shared" si="40" ref="D91:D101">ABS(Vcl1/COS(C91))-Vcl1</f>
        <v>61.14376815359286</v>
      </c>
      <c r="E91" s="7">
        <f aca="true" t="shared" si="41" ref="E91:E101">Vcl1/(B91*COS(C91))</f>
        <v>0.6105673390984557</v>
      </c>
      <c r="F91" s="95">
        <f aca="true" t="shared" si="42" ref="F91:F101">E91/Imagll</f>
        <v>1.2398531169110767</v>
      </c>
      <c r="G91" s="94">
        <f aca="true" t="shared" si="43" ref="G91:G101">SQRT((Lmag*0.000001)/(A91*0.000000001))</f>
        <v>244.9489742783178</v>
      </c>
      <c r="H91" s="7">
        <f aca="true" t="shared" si="44" ref="H91:H101">ATAN(-1*G91*Imaghl/Vcl2)</f>
        <v>-0.8581281982598787</v>
      </c>
      <c r="I91" s="9">
        <f aca="true" t="shared" si="45" ref="I91:I101">ABS(Vcl2/COS(H91))-Vcl2</f>
        <v>55.18478841882907</v>
      </c>
      <c r="J91" s="7">
        <f aca="true" t="shared" si="46" ref="J91:J101">Vcl2/(G91*COS(H91))</f>
        <v>0.6508568987241019</v>
      </c>
      <c r="K91" s="95">
        <f aca="true" t="shared" si="47" ref="K91:K101">J91/Imaghl</f>
        <v>1.3216674113910125</v>
      </c>
      <c r="L91" s="32"/>
    </row>
    <row r="92" spans="1:12" ht="12.75">
      <c r="A92" s="103">
        <f>(Step5!$C$5-Step5!$C$4)/10+A91</f>
        <v>3.7</v>
      </c>
      <c r="B92" s="94">
        <f t="shared" si="38"/>
        <v>180.09006755629923</v>
      </c>
      <c r="C92" s="7">
        <f t="shared" si="39"/>
        <v>-0.7869313174617646</v>
      </c>
      <c r="D92" s="9">
        <f t="shared" si="40"/>
        <v>36.814450815494936</v>
      </c>
      <c r="E92" s="7">
        <f t="shared" si="41"/>
        <v>0.6953660898747903</v>
      </c>
      <c r="F92" s="95">
        <f t="shared" si="42"/>
        <v>1.4120503320707467</v>
      </c>
      <c r="G92" s="94">
        <f t="shared" si="43"/>
        <v>180.09006755629923</v>
      </c>
      <c r="H92" s="7">
        <f t="shared" si="44"/>
        <v>-0.7049391391652633</v>
      </c>
      <c r="I92" s="9">
        <f t="shared" si="45"/>
        <v>32.62119239650332</v>
      </c>
      <c r="J92" s="7">
        <f t="shared" si="46"/>
        <v>0.7599704724377663</v>
      </c>
      <c r="K92" s="95">
        <f t="shared" si="47"/>
        <v>1.5432397029353824</v>
      </c>
      <c r="L92" s="32"/>
    </row>
    <row r="93" spans="1:12" ht="12.75">
      <c r="A93" s="103">
        <f>(Step5!$C$5-Step5!$C$4)/10+A92</f>
        <v>5.4</v>
      </c>
      <c r="B93" s="94">
        <f t="shared" si="38"/>
        <v>149.07119849998597</v>
      </c>
      <c r="C93" s="7">
        <f t="shared" si="39"/>
        <v>-0.6929461491599975</v>
      </c>
      <c r="D93" s="9">
        <f t="shared" si="40"/>
        <v>26.503820266282787</v>
      </c>
      <c r="E93" s="7">
        <f t="shared" si="41"/>
        <v>0.7708926788611637</v>
      </c>
      <c r="F93" s="95">
        <f t="shared" si="42"/>
        <v>1.5654189627981707</v>
      </c>
      <c r="G93" s="94">
        <f t="shared" si="43"/>
        <v>149.07119849998597</v>
      </c>
      <c r="H93" s="7">
        <f t="shared" si="44"/>
        <v>-0.6135593189052274</v>
      </c>
      <c r="I93" s="9">
        <f t="shared" si="45"/>
        <v>23.254946247542193</v>
      </c>
      <c r="J93" s="7">
        <f t="shared" si="46"/>
        <v>0.8552751225996272</v>
      </c>
      <c r="K93" s="95">
        <f t="shared" si="47"/>
        <v>1.736770800969188</v>
      </c>
      <c r="L93" s="32"/>
    </row>
    <row r="94" spans="1:12" ht="12.75">
      <c r="A94" s="103">
        <f>(Step5!$C$5-Step5!$C$4)/10+A93</f>
        <v>7.1000000000000005</v>
      </c>
      <c r="B94" s="94">
        <f t="shared" si="38"/>
        <v>130.00541700523183</v>
      </c>
      <c r="C94" s="7">
        <f t="shared" si="39"/>
        <v>-0.6267232931515856</v>
      </c>
      <c r="D94" s="9">
        <f t="shared" si="40"/>
        <v>20.74535423761718</v>
      </c>
      <c r="E94" s="7">
        <f t="shared" si="41"/>
        <v>0.839652931690069</v>
      </c>
      <c r="F94" s="95">
        <f t="shared" si="42"/>
        <v>1.7050474825866566</v>
      </c>
      <c r="G94" s="94">
        <f t="shared" si="43"/>
        <v>130.00541700523183</v>
      </c>
      <c r="H94" s="7">
        <f t="shared" si="44"/>
        <v>-0.5507670382091715</v>
      </c>
      <c r="I94" s="9">
        <f t="shared" si="45"/>
        <v>18.09004417528979</v>
      </c>
      <c r="J94" s="7">
        <f t="shared" si="46"/>
        <v>0.9409760632972196</v>
      </c>
      <c r="K94" s="95">
        <f t="shared" si="47"/>
        <v>1.910800054815318</v>
      </c>
      <c r="L94" s="32"/>
    </row>
    <row r="95" spans="1:12" ht="12.75">
      <c r="A95" s="103">
        <f>(Step5!$C$5-Step5!$C$4)/10+A94</f>
        <v>8.8</v>
      </c>
      <c r="B95" s="94">
        <f t="shared" si="38"/>
        <v>116.77484162422844</v>
      </c>
      <c r="C95" s="7">
        <f t="shared" si="39"/>
        <v>-0.5766676000343407</v>
      </c>
      <c r="D95" s="9">
        <f t="shared" si="40"/>
        <v>17.0562071978665</v>
      </c>
      <c r="E95" s="7">
        <f t="shared" si="41"/>
        <v>0.9031935390987439</v>
      </c>
      <c r="F95" s="95">
        <f t="shared" si="42"/>
        <v>1.834076690507267</v>
      </c>
      <c r="G95" s="94">
        <f t="shared" si="43"/>
        <v>116.77484162422844</v>
      </c>
      <c r="H95" s="7">
        <f t="shared" si="44"/>
        <v>-0.5041154573730322</v>
      </c>
      <c r="I95" s="9">
        <f t="shared" si="45"/>
        <v>14.809787388820354</v>
      </c>
      <c r="J95" s="7">
        <f t="shared" si="46"/>
        <v>1.0194980961526405</v>
      </c>
      <c r="K95" s="95">
        <f t="shared" si="47"/>
        <v>2.0702514059566024</v>
      </c>
      <c r="L95" s="32"/>
    </row>
    <row r="96" spans="1:12" ht="12.75">
      <c r="A96" s="103">
        <f>(Step5!$C$5-Step5!$C$4)/10+A95</f>
        <v>10.5</v>
      </c>
      <c r="B96" s="94">
        <f t="shared" si="38"/>
        <v>106.90449676496974</v>
      </c>
      <c r="C96" s="7">
        <f t="shared" si="39"/>
        <v>-0.53705970076187</v>
      </c>
      <c r="D96" s="9">
        <f t="shared" si="40"/>
        <v>14.486714239568329</v>
      </c>
      <c r="E96" s="7">
        <f t="shared" si="41"/>
        <v>0.962548748086922</v>
      </c>
      <c r="F96" s="95">
        <f t="shared" si="42"/>
        <v>1.9546067879369202</v>
      </c>
      <c r="G96" s="94">
        <f t="shared" si="43"/>
        <v>106.90449676496974</v>
      </c>
      <c r="H96" s="7">
        <f t="shared" si="44"/>
        <v>-0.4676631706216544</v>
      </c>
      <c r="I96" s="9">
        <f t="shared" si="45"/>
        <v>12.539504579340516</v>
      </c>
      <c r="J96" s="7">
        <f t="shared" si="46"/>
        <v>1.0923903992709678</v>
      </c>
      <c r="K96" s="95">
        <f t="shared" si="47"/>
        <v>2.2182707044561436</v>
      </c>
      <c r="L96" s="32"/>
    </row>
    <row r="97" spans="1:12" ht="12.75">
      <c r="A97" s="103">
        <f>(Step5!$C$5-Step5!$C$4)/10+A96</f>
        <v>12.2</v>
      </c>
      <c r="B97" s="94">
        <f t="shared" si="38"/>
        <v>99.17694073609294</v>
      </c>
      <c r="C97" s="7">
        <f t="shared" si="39"/>
        <v>-0.5046829397782663</v>
      </c>
      <c r="D97" s="9">
        <f t="shared" si="40"/>
        <v>12.592739082845696</v>
      </c>
      <c r="E97" s="7">
        <f t="shared" si="41"/>
        <v>1.0184505956685808</v>
      </c>
      <c r="F97" s="95">
        <f t="shared" si="42"/>
        <v>2.068124291292977</v>
      </c>
      <c r="G97" s="94">
        <f t="shared" si="43"/>
        <v>99.17694073609294</v>
      </c>
      <c r="H97" s="7">
        <f t="shared" si="44"/>
        <v>-0.43815099569901206</v>
      </c>
      <c r="I97" s="9">
        <f t="shared" si="45"/>
        <v>10.874131277682196</v>
      </c>
      <c r="J97" s="7">
        <f t="shared" si="46"/>
        <v>1.1607140908853952</v>
      </c>
      <c r="K97" s="95">
        <f t="shared" si="47"/>
        <v>2.3570127179613225</v>
      </c>
      <c r="L97" s="32"/>
    </row>
    <row r="98" spans="1:12" ht="12.75">
      <c r="A98" s="103">
        <f>(Step5!$C$5-Step5!$C$4)/10+A97</f>
        <v>13.899999999999999</v>
      </c>
      <c r="B98" s="94">
        <f t="shared" si="38"/>
        <v>92.91444196237664</v>
      </c>
      <c r="C98" s="7">
        <f t="shared" si="39"/>
        <v>-0.47756329612781817</v>
      </c>
      <c r="D98" s="9">
        <f t="shared" si="40"/>
        <v>11.138151238013592</v>
      </c>
      <c r="E98" s="7">
        <f t="shared" si="41"/>
        <v>1.0714397506120787</v>
      </c>
      <c r="F98" s="95">
        <f t="shared" si="42"/>
        <v>2.1757271136388114</v>
      </c>
      <c r="G98" s="94">
        <f t="shared" si="43"/>
        <v>92.91444196237664</v>
      </c>
      <c r="H98" s="7">
        <f t="shared" si="44"/>
        <v>-0.41361752890716746</v>
      </c>
      <c r="I98" s="9">
        <f t="shared" si="45"/>
        <v>9.599964089537025</v>
      </c>
      <c r="J98" s="7">
        <f t="shared" si="46"/>
        <v>1.2252336989898847</v>
      </c>
      <c r="K98" s="95">
        <f t="shared" si="47"/>
        <v>2.4880299409401183</v>
      </c>
      <c r="L98" s="32"/>
    </row>
    <row r="99" spans="1:12" ht="12.75">
      <c r="A99" s="103">
        <f>(Step5!$C$5-Step5!$C$4)/10+A98</f>
        <v>15.599999999999998</v>
      </c>
      <c r="B99" s="94">
        <f t="shared" si="38"/>
        <v>87.70580193070293</v>
      </c>
      <c r="C99" s="7">
        <f t="shared" si="39"/>
        <v>-0.4544105124820655</v>
      </c>
      <c r="D99" s="9">
        <f t="shared" si="40"/>
        <v>9.985606645749257</v>
      </c>
      <c r="E99" s="7">
        <f t="shared" si="41"/>
        <v>1.1219289917662612</v>
      </c>
      <c r="F99" s="95">
        <f t="shared" si="42"/>
        <v>2.278253467419739</v>
      </c>
      <c r="G99" s="94">
        <f t="shared" si="43"/>
        <v>87.70580193070293</v>
      </c>
      <c r="H99" s="7">
        <f t="shared" si="44"/>
        <v>-0.3928007301642703</v>
      </c>
      <c r="I99" s="9">
        <f t="shared" si="45"/>
        <v>8.593474333354195</v>
      </c>
      <c r="J99" s="7">
        <f t="shared" si="46"/>
        <v>1.286521680151936</v>
      </c>
      <c r="K99" s="95">
        <f t="shared" si="47"/>
        <v>2.6124848365871047</v>
      </c>
      <c r="L99" s="32"/>
    </row>
    <row r="100" spans="1:12" ht="12.75">
      <c r="A100" s="103">
        <f>(Step5!$C$5-Step5!$C$4)/10+A99</f>
        <v>17.299999999999997</v>
      </c>
      <c r="B100" s="94">
        <f t="shared" si="38"/>
        <v>83.28514984660289</v>
      </c>
      <c r="C100" s="7">
        <f t="shared" si="39"/>
        <v>-0.4343397758630478</v>
      </c>
      <c r="D100" s="9">
        <f t="shared" si="40"/>
        <v>9.049699609298258</v>
      </c>
      <c r="E100" s="7">
        <f t="shared" si="41"/>
        <v>1.1702419347894035</v>
      </c>
      <c r="F100" s="95">
        <f t="shared" si="42"/>
        <v>2.376360505183728</v>
      </c>
      <c r="G100" s="94">
        <f t="shared" si="43"/>
        <v>83.28514984660289</v>
      </c>
      <c r="H100" s="7">
        <f t="shared" si="44"/>
        <v>-0.3748462106656265</v>
      </c>
      <c r="I100" s="9">
        <f t="shared" si="45"/>
        <v>7.778240068201313</v>
      </c>
      <c r="J100" s="7">
        <f t="shared" si="46"/>
        <v>1.3450198696902165</v>
      </c>
      <c r="K100" s="95">
        <f t="shared" si="47"/>
        <v>2.731274621084563</v>
      </c>
      <c r="L100" s="32"/>
    </row>
    <row r="101" spans="1:12" ht="13.5" thickBot="1">
      <c r="A101" s="104">
        <f>(Step5!$C$5-Step5!$C$4)/10+A100</f>
        <v>18.999999999999996</v>
      </c>
      <c r="B101" s="96">
        <f t="shared" si="38"/>
        <v>79.47194142390263</v>
      </c>
      <c r="C101" s="97">
        <f t="shared" si="39"/>
        <v>-0.4167208522947894</v>
      </c>
      <c r="D101" s="98">
        <f t="shared" si="40"/>
        <v>8.274498337096091</v>
      </c>
      <c r="E101" s="97">
        <f t="shared" si="41"/>
        <v>1.2166378710666672</v>
      </c>
      <c r="F101" s="99">
        <f t="shared" si="42"/>
        <v>2.4705747589142195</v>
      </c>
      <c r="G101" s="96">
        <f t="shared" si="43"/>
        <v>79.47194142390263</v>
      </c>
      <c r="H101" s="97">
        <f t="shared" si="44"/>
        <v>-0.35915191380697653</v>
      </c>
      <c r="I101" s="98">
        <f t="shared" si="45"/>
        <v>7.104427685369629</v>
      </c>
      <c r="J101" s="97">
        <f t="shared" si="46"/>
        <v>1.4010777516690542</v>
      </c>
      <c r="K101" s="99">
        <f t="shared" si="47"/>
        <v>2.845108976851974</v>
      </c>
      <c r="L101" s="32"/>
    </row>
    <row r="102" spans="1:12" ht="12.75">
      <c r="A102" s="32"/>
      <c r="B102" s="30"/>
      <c r="C102" s="32"/>
      <c r="D102" s="30"/>
      <c r="E102" s="32"/>
      <c r="F102" s="30"/>
      <c r="G102" s="32"/>
      <c r="H102" s="41"/>
      <c r="I102"/>
      <c r="J102" s="30"/>
      <c r="K102" s="32"/>
      <c r="L102" s="32"/>
    </row>
    <row r="103" spans="1:12" ht="12.75">
      <c r="A103" s="3" t="s">
        <v>121</v>
      </c>
      <c r="B103" s="3">
        <f>SUM(Step5!C12:C13)</f>
        <v>190</v>
      </c>
      <c r="C103" s="3" t="s">
        <v>75</v>
      </c>
      <c r="K103" s="32"/>
      <c r="L103" s="32"/>
    </row>
    <row r="104" spans="1:12" ht="12.75">
      <c r="A104" s="3" t="s">
        <v>122</v>
      </c>
      <c r="B104" s="9">
        <v>0.33</v>
      </c>
      <c r="C104" s="3" t="s">
        <v>2</v>
      </c>
      <c r="K104" s="32"/>
      <c r="L104" s="32"/>
    </row>
    <row r="105" spans="1:12" ht="12.75">
      <c r="A105" s="3" t="s">
        <v>123</v>
      </c>
      <c r="B105" s="9">
        <f>Iout1</f>
        <v>30</v>
      </c>
      <c r="C105" s="3" t="s">
        <v>2</v>
      </c>
      <c r="K105" s="32"/>
      <c r="L105" s="32"/>
    </row>
    <row r="106" spans="1:12" ht="12.75">
      <c r="A106" s="3" t="s">
        <v>124</v>
      </c>
      <c r="B106" s="9">
        <f>Imagll</f>
        <v>0.4924513482851906</v>
      </c>
      <c r="C106" s="3" t="s">
        <v>2</v>
      </c>
      <c r="K106" s="32"/>
      <c r="L106" s="32"/>
    </row>
    <row r="107" spans="1:17" ht="12.75">
      <c r="A107" s="3" t="s">
        <v>125</v>
      </c>
      <c r="B107" s="9">
        <f>Imaghl</f>
        <v>0.4924513482851907</v>
      </c>
      <c r="C107" s="3" t="s">
        <v>2</v>
      </c>
      <c r="G107"/>
      <c r="H107"/>
      <c r="I107"/>
      <c r="J107"/>
      <c r="K107"/>
      <c r="L107"/>
      <c r="M107"/>
      <c r="N107"/>
      <c r="O107"/>
      <c r="P107"/>
      <c r="Q107"/>
    </row>
    <row r="108" spans="1:17" ht="12.75">
      <c r="A108" s="3" t="s">
        <v>132</v>
      </c>
      <c r="B108" s="9">
        <f>Vinmin*DCmax/(1-DCmax)</f>
        <v>55.41407528641569</v>
      </c>
      <c r="C108" s="3" t="s">
        <v>30</v>
      </c>
      <c r="G108"/>
      <c r="H108"/>
      <c r="I108"/>
      <c r="J108"/>
      <c r="K108"/>
      <c r="L108"/>
      <c r="M108"/>
      <c r="N108"/>
      <c r="O108"/>
      <c r="P108"/>
      <c r="Q108"/>
    </row>
    <row r="109" spans="1:17" ht="12.75">
      <c r="A109" s="3" t="s">
        <v>131</v>
      </c>
      <c r="B109" s="9">
        <f>Vinmax*DCmin/(1-DCmin)</f>
        <v>28.241941325606668</v>
      </c>
      <c r="C109" s="3" t="s">
        <v>30</v>
      </c>
      <c r="G109"/>
      <c r="H109"/>
      <c r="I109"/>
      <c r="J109"/>
      <c r="K109"/>
      <c r="L109"/>
      <c r="M109"/>
      <c r="N109"/>
      <c r="O109"/>
      <c r="P109"/>
      <c r="Q109"/>
    </row>
    <row r="110" spans="2:17" ht="12.75">
      <c r="B110" s="30"/>
      <c r="C110" s="4"/>
      <c r="G110"/>
      <c r="H110"/>
      <c r="I110"/>
      <c r="J110"/>
      <c r="K110"/>
      <c r="L110"/>
      <c r="M110"/>
      <c r="N110"/>
      <c r="O110"/>
      <c r="P110"/>
      <c r="Q110"/>
    </row>
    <row r="111" spans="1:17" ht="12.75">
      <c r="A111" s="3"/>
      <c r="B111" s="3" t="s">
        <v>126</v>
      </c>
      <c r="C111" s="3" t="s">
        <v>127</v>
      </c>
      <c r="D111" s="3" t="s">
        <v>128</v>
      </c>
      <c r="E111" s="3" t="s">
        <v>129</v>
      </c>
      <c r="G111"/>
      <c r="H111"/>
      <c r="I111"/>
      <c r="J111"/>
      <c r="K111"/>
      <c r="L111"/>
      <c r="M111"/>
      <c r="N111"/>
      <c r="O111"/>
      <c r="P111"/>
      <c r="Q111"/>
    </row>
    <row r="112" spans="1:17" ht="12.75">
      <c r="A112" s="3" t="s">
        <v>120</v>
      </c>
      <c r="B112" s="9">
        <f>Cdrain*Vinmin/(Iout1min/NpNs1+Imagll)/1000</f>
        <v>11.45307253263662</v>
      </c>
      <c r="C112" s="9">
        <f>Cdrain*Vinmin/(Iout1/NpNs1+Imagll)/1000</f>
        <v>1.1415667800057199</v>
      </c>
      <c r="D112" s="9">
        <f>Cdrain*Vinmax/(Iout1min/NpNs1+Imaghl)/1000</f>
        <v>26.37677310546615</v>
      </c>
      <c r="E112" s="9">
        <f>Cdrain*Vinmax/(Iout1/NpNs1+Imaghl)/1000</f>
        <v>2.6290628872859</v>
      </c>
      <c r="G112"/>
      <c r="H112"/>
      <c r="I112"/>
      <c r="J112"/>
      <c r="K112"/>
      <c r="L112"/>
      <c r="M112"/>
      <c r="N112"/>
      <c r="O112"/>
      <c r="P112"/>
      <c r="Q112"/>
    </row>
    <row r="113" spans="1:17" s="39" customFormat="1" ht="12.75">
      <c r="A113" s="27" t="s">
        <v>130</v>
      </c>
      <c r="B113" s="76">
        <f>ASIN(Vcll/(Imagll*Zc))/w*1000000000</f>
        <v>21.452223843465113</v>
      </c>
      <c r="C113" s="76">
        <f>ASIN(Vcll/(Imagll*Zc))/w*1000000000</f>
        <v>21.452223843465113</v>
      </c>
      <c r="D113" s="76">
        <f>ASIN(Vclhl/(Imaghl*Zc))/w*1000000000</f>
        <v>10.905924191804898</v>
      </c>
      <c r="E113" s="76">
        <f>ASIN(Vclhl/(Imaghl*Zc))/w*1000000000</f>
        <v>10.905924191804898</v>
      </c>
      <c r="G113"/>
      <c r="H113"/>
      <c r="I113"/>
      <c r="J113"/>
      <c r="K113"/>
      <c r="L113"/>
      <c r="M113"/>
      <c r="N113"/>
      <c r="O113"/>
      <c r="P113"/>
      <c r="Q113"/>
    </row>
    <row r="114" spans="1:17" s="39" customFormat="1" ht="12.75">
      <c r="A114" s="27" t="s">
        <v>135</v>
      </c>
      <c r="B114" s="76">
        <f>SUM(B112:B113)</f>
        <v>32.90529637610173</v>
      </c>
      <c r="C114" s="76">
        <f>SUM(C112:C113)</f>
        <v>22.593790623470834</v>
      </c>
      <c r="D114" s="76">
        <f>SUM(D112:D113)</f>
        <v>37.28269729727105</v>
      </c>
      <c r="E114" s="76">
        <f>SUM(E112:E113)</f>
        <v>13.534987079090797</v>
      </c>
      <c r="G114"/>
      <c r="H114"/>
      <c r="I114"/>
      <c r="J114"/>
      <c r="K114"/>
      <c r="L114"/>
      <c r="M114"/>
      <c r="N114"/>
      <c r="O114"/>
      <c r="P114"/>
      <c r="Q114"/>
    </row>
    <row r="115" spans="1:17" ht="12.75">
      <c r="A115" s="27" t="s">
        <v>134</v>
      </c>
      <c r="B115" s="77">
        <f>SQRT((Lmag+Llk)/Cdrain)*1000</f>
        <v>794.7194142390263</v>
      </c>
      <c r="C115" s="75"/>
      <c r="D115" s="75"/>
      <c r="E115" s="75"/>
      <c r="G115"/>
      <c r="H115"/>
      <c r="I115"/>
      <c r="J115"/>
      <c r="K115"/>
      <c r="L115"/>
      <c r="M115"/>
      <c r="N115"/>
      <c r="O115"/>
      <c r="P115"/>
      <c r="Q115"/>
    </row>
    <row r="116" spans="1:17" ht="12.75">
      <c r="A116" s="27" t="s">
        <v>133</v>
      </c>
      <c r="B116" s="77">
        <f>SQRT(1/((Lmag+Llk)*0.000001*Cdrain*0.000000000001))</f>
        <v>6622661.78532522</v>
      </c>
      <c r="C116" s="75"/>
      <c r="D116" s="75"/>
      <c r="E116" s="75"/>
      <c r="G116"/>
      <c r="H116"/>
      <c r="I116"/>
      <c r="J116"/>
      <c r="K116"/>
      <c r="L116"/>
      <c r="M116"/>
      <c r="N116"/>
      <c r="O116"/>
      <c r="P116"/>
      <c r="Q116"/>
    </row>
    <row r="117" spans="1:17" ht="12.75">
      <c r="A117" s="27" t="s">
        <v>136</v>
      </c>
      <c r="B117" s="27">
        <f>(1-DCmax)/(f*1000)*1000000000/2</f>
        <v>533.2053407801728</v>
      </c>
      <c r="C117" s="75"/>
      <c r="D117" s="75"/>
      <c r="E117" s="75"/>
      <c r="G117"/>
      <c r="H117"/>
      <c r="I117"/>
      <c r="J117"/>
      <c r="K117"/>
      <c r="L117"/>
      <c r="M117"/>
      <c r="N117"/>
      <c r="O117"/>
      <c r="P117"/>
      <c r="Q117"/>
    </row>
    <row r="118" spans="1:17" ht="12.75">
      <c r="A118" s="27" t="s">
        <v>141</v>
      </c>
      <c r="B118" s="77">
        <f>ATAN(Zc*Imagll/Vcll)</f>
        <v>1.4301379821462956</v>
      </c>
      <c r="C118" s="75"/>
      <c r="D118" s="75"/>
      <c r="E118" s="75"/>
      <c r="G118"/>
      <c r="H118"/>
      <c r="I118"/>
      <c r="J118"/>
      <c r="K118"/>
      <c r="L118"/>
      <c r="M118"/>
      <c r="N118"/>
      <c r="O118"/>
      <c r="P118"/>
      <c r="Q118"/>
    </row>
    <row r="119" spans="1:5" ht="12.75">
      <c r="A119" s="27" t="s">
        <v>142</v>
      </c>
      <c r="B119" s="77">
        <f>ATAN(Zc*Imaghl/Vclhl)</f>
        <v>1.49875773471116</v>
      </c>
      <c r="C119" s="75"/>
      <c r="D119" s="75"/>
      <c r="E119" s="75"/>
    </row>
    <row r="120" spans="1:5" ht="12.75">
      <c r="A120" s="27" t="s">
        <v>139</v>
      </c>
      <c r="B120" s="77">
        <f>(PI()/(2*w)-phill/w)*1000000000</f>
        <v>21.23894428072377</v>
      </c>
      <c r="D120" s="75"/>
      <c r="E120" s="75"/>
    </row>
    <row r="121" spans="1:5" ht="12.75">
      <c r="A121" s="27" t="s">
        <v>140</v>
      </c>
      <c r="B121" s="77">
        <f>(PI()/(2*w)-phihl/w)*1000000000</f>
        <v>10.877588863644336</v>
      </c>
      <c r="D121" s="75"/>
      <c r="E121" s="75"/>
    </row>
    <row r="122" spans="1:2" ht="12.75">
      <c r="A122" s="3" t="s">
        <v>143</v>
      </c>
      <c r="B122" s="3">
        <f>Vcll/(Zc*COS(phill))</f>
        <v>0.497363351433667</v>
      </c>
    </row>
    <row r="123" spans="1:2" ht="12.75">
      <c r="A123" s="3" t="s">
        <v>144</v>
      </c>
      <c r="B123" s="3">
        <f>Vclhl/(Zc*COS(phihl))</f>
        <v>0.49373191974337766</v>
      </c>
    </row>
    <row r="125" spans="1:10" s="85" customFormat="1" ht="12.75">
      <c r="A125" s="90"/>
      <c r="B125" s="91"/>
      <c r="C125" s="90"/>
      <c r="D125" s="91"/>
      <c r="E125" s="90"/>
      <c r="F125" s="91"/>
      <c r="G125" s="90"/>
      <c r="H125" s="88"/>
      <c r="I125" s="89"/>
      <c r="J125" s="86"/>
    </row>
  </sheetData>
  <mergeCells count="14">
    <mergeCell ref="H34:J34"/>
    <mergeCell ref="H35:J35"/>
    <mergeCell ref="H39:J39"/>
    <mergeCell ref="H40:J40"/>
    <mergeCell ref="B89:F89"/>
    <mergeCell ref="G89:K89"/>
    <mergeCell ref="H36:J36"/>
    <mergeCell ref="H37:J37"/>
    <mergeCell ref="E43:F43"/>
    <mergeCell ref="E45:F45"/>
    <mergeCell ref="E44:F44"/>
    <mergeCell ref="E47:F47"/>
    <mergeCell ref="E46:F46"/>
    <mergeCell ref="E48:F48"/>
  </mergeCells>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sheetPr codeName="Sheet11"/>
  <dimension ref="A2:J112"/>
  <sheetViews>
    <sheetView showGridLines="0" workbookViewId="0" topLeftCell="A79">
      <selection activeCell="B93" sqref="B93"/>
    </sheetView>
  </sheetViews>
  <sheetFormatPr defaultColWidth="9.140625" defaultRowHeight="12.75"/>
  <cols>
    <col min="1" max="1" width="21.421875" style="0" customWidth="1"/>
    <col min="2" max="2" width="12.421875" style="0" bestFit="1" customWidth="1"/>
    <col min="3" max="3" width="14.00390625" style="0" bestFit="1" customWidth="1"/>
    <col min="4" max="4" width="16.421875" style="0" customWidth="1"/>
    <col min="5" max="5" width="14.00390625" style="0" bestFit="1" customWidth="1"/>
    <col min="6" max="6" width="12.57421875" style="0" bestFit="1" customWidth="1"/>
  </cols>
  <sheetData>
    <row r="2" spans="1:2" ht="12.75">
      <c r="A2" s="299" t="s">
        <v>185</v>
      </c>
      <c r="B2" s="299"/>
    </row>
    <row r="4" spans="1:6" ht="12.75">
      <c r="A4" s="33" t="s">
        <v>165</v>
      </c>
      <c r="B4" s="33" t="s">
        <v>164</v>
      </c>
      <c r="C4" s="33" t="s">
        <v>163</v>
      </c>
      <c r="D4" s="33" t="s">
        <v>162</v>
      </c>
      <c r="E4" s="33" t="s">
        <v>161</v>
      </c>
      <c r="F4" s="33" t="s">
        <v>160</v>
      </c>
    </row>
    <row r="5" spans="1:6" ht="12.75">
      <c r="A5" s="20">
        <v>1.94</v>
      </c>
      <c r="B5" s="20">
        <v>2</v>
      </c>
      <c r="C5" s="20">
        <v>2.06</v>
      </c>
      <c r="D5" s="114">
        <v>0.097</v>
      </c>
      <c r="E5" s="114">
        <v>0.1</v>
      </c>
      <c r="F5" s="114">
        <v>0.103</v>
      </c>
    </row>
    <row r="6" spans="1:3" ht="12.75">
      <c r="A6" s="32"/>
      <c r="B6" s="32"/>
      <c r="C6" s="32"/>
    </row>
    <row r="7" spans="1:6" ht="12.75">
      <c r="A7" s="33" t="s">
        <v>159</v>
      </c>
      <c r="B7" s="33" t="s">
        <v>158</v>
      </c>
      <c r="C7" s="33" t="s">
        <v>157</v>
      </c>
      <c r="D7" s="53" t="s">
        <v>156</v>
      </c>
      <c r="E7" s="53" t="s">
        <v>155</v>
      </c>
      <c r="F7" s="53" t="s">
        <v>154</v>
      </c>
    </row>
    <row r="8" spans="1:6" ht="12.75">
      <c r="A8" s="20">
        <v>2.85</v>
      </c>
      <c r="B8" s="20">
        <v>3.08</v>
      </c>
      <c r="C8" s="20">
        <v>3.15</v>
      </c>
      <c r="D8" s="114">
        <v>0.08</v>
      </c>
      <c r="E8" s="114">
        <v>0.1</v>
      </c>
      <c r="F8" s="114">
        <v>0.12</v>
      </c>
    </row>
    <row r="9" spans="1:3" ht="12.75">
      <c r="A9" s="18"/>
      <c r="B9" s="18"/>
      <c r="C9" s="18"/>
    </row>
    <row r="10" spans="1:5" ht="15.75">
      <c r="A10" s="3" t="s">
        <v>170</v>
      </c>
      <c r="B10" s="22">
        <v>0.04</v>
      </c>
      <c r="D10" s="113" t="s">
        <v>211</v>
      </c>
      <c r="E10" s="16">
        <v>500</v>
      </c>
    </row>
    <row r="11" spans="1:9" ht="15.75">
      <c r="A11" s="3" t="s">
        <v>170</v>
      </c>
      <c r="B11" s="22">
        <v>0.05</v>
      </c>
      <c r="I11" s="147" t="s">
        <v>215</v>
      </c>
    </row>
    <row r="12" spans="1:2" ht="15.75">
      <c r="A12" s="3" t="s">
        <v>170</v>
      </c>
      <c r="B12" s="22">
        <v>0.06</v>
      </c>
    </row>
    <row r="13" ht="12.75">
      <c r="I13" t="s">
        <v>216</v>
      </c>
    </row>
    <row r="14" spans="1:2" ht="15.75">
      <c r="A14" s="12" t="s">
        <v>181</v>
      </c>
      <c r="B14" s="116">
        <v>5</v>
      </c>
    </row>
    <row r="15" spans="1:2" ht="15.75">
      <c r="A15" s="3" t="s">
        <v>182</v>
      </c>
      <c r="B15" s="115">
        <v>500</v>
      </c>
    </row>
    <row r="16" spans="1:2" ht="15.75">
      <c r="A16" s="3" t="s">
        <v>183</v>
      </c>
      <c r="B16" s="116">
        <v>2</v>
      </c>
    </row>
    <row r="17" spans="1:2" ht="15.75">
      <c r="A17" s="3" t="s">
        <v>184</v>
      </c>
      <c r="B17" s="116">
        <v>3</v>
      </c>
    </row>
    <row r="19" s="117" customFormat="1" ht="12.75"/>
    <row r="21" spans="1:2" ht="12.75">
      <c r="A21" s="299" t="s">
        <v>228</v>
      </c>
      <c r="B21" s="299"/>
    </row>
    <row r="22" spans="1:2" ht="12.75">
      <c r="A22" s="31"/>
      <c r="B22" s="31"/>
    </row>
    <row r="23" spans="1:2" ht="12.75">
      <c r="A23" s="130" t="s">
        <v>191</v>
      </c>
      <c r="B23" s="31"/>
    </row>
    <row r="24" spans="1:5" ht="12.75">
      <c r="A24" s="113" t="s">
        <v>190</v>
      </c>
      <c r="B24" s="301" t="s">
        <v>194</v>
      </c>
      <c r="C24" s="301"/>
      <c r="D24" s="301"/>
      <c r="E24" s="301"/>
    </row>
    <row r="25" spans="1:5" ht="12.75">
      <c r="A25" s="131" t="s">
        <v>192</v>
      </c>
      <c r="B25" s="302">
        <f>(Step5!C23*0.000000001+(DCmax/(f*1000)))*f*1000</f>
        <v>0.661756261453879</v>
      </c>
      <c r="C25" s="302"/>
      <c r="D25" s="302"/>
      <c r="E25" s="302"/>
    </row>
    <row r="26" spans="1:5" ht="12.75">
      <c r="A26" s="113" t="s">
        <v>193</v>
      </c>
      <c r="B26" s="303" t="str">
        <f>CONCATENATE(B24,ROUND(B25,3))</f>
        <v>Select an RT to set an oscillator duty cycle of 0.662</v>
      </c>
      <c r="C26" s="303"/>
      <c r="D26" s="303"/>
      <c r="E26" s="303"/>
    </row>
    <row r="28" spans="1:10" ht="27">
      <c r="A28" s="66" t="s">
        <v>64</v>
      </c>
      <c r="B28" s="66" t="s">
        <v>69</v>
      </c>
      <c r="C28" s="66" t="s">
        <v>63</v>
      </c>
      <c r="D28" s="66" t="s">
        <v>71</v>
      </c>
      <c r="E28" s="66" t="s">
        <v>72</v>
      </c>
      <c r="F28" s="66" t="s">
        <v>70</v>
      </c>
      <c r="G28" s="67" t="s">
        <v>65</v>
      </c>
      <c r="H28" s="67" t="s">
        <v>66</v>
      </c>
      <c r="I28" s="66" t="s">
        <v>68</v>
      </c>
      <c r="J28" s="67" t="s">
        <v>67</v>
      </c>
    </row>
    <row r="29" spans="1:10" ht="12.75">
      <c r="A29" s="68">
        <v>10</v>
      </c>
      <c r="B29" s="119">
        <f>Step7!M26</f>
        <v>270</v>
      </c>
      <c r="C29" s="118">
        <v>5</v>
      </c>
      <c r="D29" s="118">
        <v>2</v>
      </c>
      <c r="E29" s="118">
        <v>3</v>
      </c>
      <c r="F29" s="119">
        <v>500</v>
      </c>
      <c r="G29" s="43">
        <f>(-1*A29*1000*B29*0.000000000001*LN((C29-E29)/(C29-D29)))*1000000</f>
        <v>1.094755791892044</v>
      </c>
      <c r="H29" s="43">
        <f aca="true" t="shared" si="0" ref="H29:H44">A29*1000*B29*0.000000000001*-1*LN((D29-C29+F29*0.000001*A29*1000)/(F29*0.000001*A29*1000+E29-C29))*1000000</f>
        <v>1.094755791892044</v>
      </c>
      <c r="I29" s="43">
        <f aca="true" t="shared" si="1" ref="I29:I44">G29/(G29+H29)*100</f>
        <v>50</v>
      </c>
      <c r="J29" s="33">
        <f aca="true" t="shared" si="2" ref="J29:J44">(1/((G29+H29)*0.000001))/1000</f>
        <v>456.7228634030428</v>
      </c>
    </row>
    <row r="30" spans="1:10" ht="12.75">
      <c r="A30" s="68">
        <v>12</v>
      </c>
      <c r="B30" s="68">
        <f aca="true" t="shared" si="3" ref="B30:B44">B29</f>
        <v>270</v>
      </c>
      <c r="C30" s="53">
        <f aca="true" t="shared" si="4" ref="C30:C44">C29</f>
        <v>5</v>
      </c>
      <c r="D30" s="53">
        <f aca="true" t="shared" si="5" ref="D30:D44">D29</f>
        <v>2</v>
      </c>
      <c r="E30" s="53">
        <f aca="true" t="shared" si="6" ref="E30:E44">E29</f>
        <v>3</v>
      </c>
      <c r="F30" s="68">
        <f aca="true" t="shared" si="7" ref="F30:F44">F29</f>
        <v>500</v>
      </c>
      <c r="G30" s="33">
        <f aca="true" t="shared" si="8" ref="G30:G44">(-1*A30*1000*B30*0.000000000001*LN((C30-E30)/(C30-D30)))*1000000</f>
        <v>1.3137069502704528</v>
      </c>
      <c r="H30" s="33">
        <f t="shared" si="0"/>
        <v>0.9320899147437701</v>
      </c>
      <c r="I30" s="43">
        <f t="shared" si="1"/>
        <v>58.49625007211563</v>
      </c>
      <c r="J30" s="33">
        <f t="shared" si="2"/>
        <v>445.2762471879517</v>
      </c>
    </row>
    <row r="31" spans="1:10" ht="12.75">
      <c r="A31" s="68">
        <v>14</v>
      </c>
      <c r="B31" s="68">
        <f t="shared" si="3"/>
        <v>270</v>
      </c>
      <c r="C31" s="53">
        <f t="shared" si="4"/>
        <v>5</v>
      </c>
      <c r="D31" s="53">
        <f t="shared" si="5"/>
        <v>2</v>
      </c>
      <c r="E31" s="53">
        <f t="shared" si="6"/>
        <v>3</v>
      </c>
      <c r="F31" s="68">
        <f t="shared" si="7"/>
        <v>500</v>
      </c>
      <c r="G31" s="33">
        <f t="shared" si="8"/>
        <v>1.5326581086488615</v>
      </c>
      <c r="H31" s="33">
        <f t="shared" si="0"/>
        <v>0.8434826239677126</v>
      </c>
      <c r="I31" s="43">
        <f t="shared" si="1"/>
        <v>64.50199214257478</v>
      </c>
      <c r="J31" s="33">
        <f t="shared" si="2"/>
        <v>420.8504935222476</v>
      </c>
    </row>
    <row r="32" spans="1:10" ht="12.75">
      <c r="A32" s="68">
        <v>16</v>
      </c>
      <c r="B32" s="68">
        <f t="shared" si="3"/>
        <v>270</v>
      </c>
      <c r="C32" s="53">
        <f t="shared" si="4"/>
        <v>5</v>
      </c>
      <c r="D32" s="53">
        <f t="shared" si="5"/>
        <v>2</v>
      </c>
      <c r="E32" s="53">
        <f t="shared" si="6"/>
        <v>3</v>
      </c>
      <c r="F32" s="68">
        <f t="shared" si="7"/>
        <v>500</v>
      </c>
      <c r="G32" s="33">
        <f t="shared" si="8"/>
        <v>1.7516092670272703</v>
      </c>
      <c r="H32" s="33">
        <f t="shared" si="0"/>
        <v>0.7876291253498838</v>
      </c>
      <c r="I32" s="43">
        <f t="shared" si="1"/>
        <v>68.98167861220269</v>
      </c>
      <c r="J32" s="33">
        <f t="shared" si="2"/>
        <v>393.81887222642064</v>
      </c>
    </row>
    <row r="33" spans="1:10" ht="12.75">
      <c r="A33" s="68">
        <v>18</v>
      </c>
      <c r="B33" s="68">
        <f t="shared" si="3"/>
        <v>270</v>
      </c>
      <c r="C33" s="53">
        <f t="shared" si="4"/>
        <v>5</v>
      </c>
      <c r="D33" s="53">
        <f t="shared" si="5"/>
        <v>2</v>
      </c>
      <c r="E33" s="53">
        <f t="shared" si="6"/>
        <v>3</v>
      </c>
      <c r="F33" s="68">
        <f t="shared" si="7"/>
        <v>500</v>
      </c>
      <c r="G33" s="33">
        <f t="shared" si="8"/>
        <v>1.9705604254056794</v>
      </c>
      <c r="H33" s="33">
        <f t="shared" si="0"/>
        <v>0.749172303960475</v>
      </c>
      <c r="I33" s="33">
        <f t="shared" si="1"/>
        <v>72.4541939040064</v>
      </c>
      <c r="J33" s="33">
        <f t="shared" si="2"/>
        <v>367.6831878377455</v>
      </c>
    </row>
    <row r="34" spans="1:10" ht="12.75">
      <c r="A34" s="68">
        <v>20</v>
      </c>
      <c r="B34" s="68">
        <f t="shared" si="3"/>
        <v>270</v>
      </c>
      <c r="C34" s="53">
        <f t="shared" si="4"/>
        <v>5</v>
      </c>
      <c r="D34" s="53">
        <f t="shared" si="5"/>
        <v>2</v>
      </c>
      <c r="E34" s="53">
        <f t="shared" si="6"/>
        <v>3</v>
      </c>
      <c r="F34" s="68">
        <f t="shared" si="7"/>
        <v>500</v>
      </c>
      <c r="G34" s="33">
        <f t="shared" si="8"/>
        <v>2.189511583784088</v>
      </c>
      <c r="H34" s="33">
        <f t="shared" si="0"/>
        <v>0.7210695201724222</v>
      </c>
      <c r="I34" s="33">
        <f t="shared" si="1"/>
        <v>75.22592587465667</v>
      </c>
      <c r="J34" s="33">
        <f t="shared" si="2"/>
        <v>343.5740026761824</v>
      </c>
    </row>
    <row r="35" spans="1:10" ht="12.75">
      <c r="A35" s="68">
        <v>22</v>
      </c>
      <c r="B35" s="68">
        <f t="shared" si="3"/>
        <v>270</v>
      </c>
      <c r="C35" s="53">
        <f t="shared" si="4"/>
        <v>5</v>
      </c>
      <c r="D35" s="53">
        <f t="shared" si="5"/>
        <v>2</v>
      </c>
      <c r="E35" s="53">
        <f t="shared" si="6"/>
        <v>3</v>
      </c>
      <c r="F35" s="68">
        <f t="shared" si="7"/>
        <v>500</v>
      </c>
      <c r="G35" s="33">
        <f t="shared" si="8"/>
        <v>2.4084627421624965</v>
      </c>
      <c r="H35" s="33">
        <f t="shared" si="0"/>
        <v>0.6996312317989181</v>
      </c>
      <c r="I35" s="33">
        <f t="shared" si="1"/>
        <v>77.49002322129905</v>
      </c>
      <c r="J35" s="33">
        <f t="shared" si="2"/>
        <v>321.7405935527272</v>
      </c>
    </row>
    <row r="36" spans="1:10" ht="12.75">
      <c r="A36" s="68">
        <v>24</v>
      </c>
      <c r="B36" s="68">
        <f t="shared" si="3"/>
        <v>270</v>
      </c>
      <c r="C36" s="53">
        <f t="shared" si="4"/>
        <v>5</v>
      </c>
      <c r="D36" s="53">
        <f t="shared" si="5"/>
        <v>2</v>
      </c>
      <c r="E36" s="53">
        <f t="shared" si="6"/>
        <v>3</v>
      </c>
      <c r="F36" s="68">
        <f t="shared" si="7"/>
        <v>500</v>
      </c>
      <c r="G36" s="33">
        <f t="shared" si="8"/>
        <v>2.6274139005409056</v>
      </c>
      <c r="H36" s="33">
        <f t="shared" si="0"/>
        <v>0.6827361414627142</v>
      </c>
      <c r="I36" s="33">
        <f t="shared" si="1"/>
        <v>79.37446542303995</v>
      </c>
      <c r="J36" s="33">
        <f t="shared" si="2"/>
        <v>302.10110940913853</v>
      </c>
    </row>
    <row r="37" spans="1:10" ht="12.75">
      <c r="A37" s="68">
        <v>26</v>
      </c>
      <c r="B37" s="68">
        <f t="shared" si="3"/>
        <v>270</v>
      </c>
      <c r="C37" s="53">
        <f t="shared" si="4"/>
        <v>5</v>
      </c>
      <c r="D37" s="53">
        <f t="shared" si="5"/>
        <v>2</v>
      </c>
      <c r="E37" s="53">
        <f t="shared" si="6"/>
        <v>3</v>
      </c>
      <c r="F37" s="68">
        <f t="shared" si="7"/>
        <v>500</v>
      </c>
      <c r="G37" s="33">
        <f t="shared" si="8"/>
        <v>2.8463650589193144</v>
      </c>
      <c r="H37" s="33">
        <f t="shared" si="0"/>
        <v>0.6690774622263589</v>
      </c>
      <c r="I37" s="33">
        <f t="shared" si="1"/>
        <v>80.96747541165007</v>
      </c>
      <c r="J37" s="33">
        <f t="shared" si="2"/>
        <v>284.4592093271099</v>
      </c>
    </row>
    <row r="38" spans="1:10" ht="12.75">
      <c r="A38" s="68">
        <v>28</v>
      </c>
      <c r="B38" s="68">
        <f t="shared" si="3"/>
        <v>270</v>
      </c>
      <c r="C38" s="53">
        <f t="shared" si="4"/>
        <v>5</v>
      </c>
      <c r="D38" s="53">
        <f t="shared" si="5"/>
        <v>2</v>
      </c>
      <c r="E38" s="53">
        <f t="shared" si="6"/>
        <v>3</v>
      </c>
      <c r="F38" s="68">
        <f t="shared" si="7"/>
        <v>500</v>
      </c>
      <c r="G38" s="33">
        <f t="shared" si="8"/>
        <v>3.065316217297723</v>
      </c>
      <c r="H38" s="33">
        <f t="shared" si="0"/>
        <v>0.6578060100416013</v>
      </c>
      <c r="I38" s="33">
        <f t="shared" si="1"/>
        <v>82.33187174970367</v>
      </c>
      <c r="J38" s="33">
        <f t="shared" si="2"/>
        <v>268.5917729632625</v>
      </c>
    </row>
    <row r="39" spans="1:10" ht="12.75">
      <c r="A39" s="68">
        <v>30</v>
      </c>
      <c r="B39" s="68">
        <f t="shared" si="3"/>
        <v>270</v>
      </c>
      <c r="C39" s="53">
        <f t="shared" si="4"/>
        <v>5</v>
      </c>
      <c r="D39" s="53">
        <f t="shared" si="5"/>
        <v>2</v>
      </c>
      <c r="E39" s="53">
        <f t="shared" si="6"/>
        <v>3</v>
      </c>
      <c r="F39" s="68">
        <f t="shared" si="7"/>
        <v>500</v>
      </c>
      <c r="G39" s="33">
        <f t="shared" si="8"/>
        <v>3.2842673756761323</v>
      </c>
      <c r="H39" s="33">
        <f t="shared" si="0"/>
        <v>0.6483459321556446</v>
      </c>
      <c r="I39" s="33">
        <f t="shared" si="1"/>
        <v>83.51361088911368</v>
      </c>
      <c r="J39" s="33">
        <f t="shared" si="2"/>
        <v>254.28383665602357</v>
      </c>
    </row>
    <row r="40" spans="1:10" ht="12.75">
      <c r="A40" s="68">
        <v>32</v>
      </c>
      <c r="B40" s="68">
        <f t="shared" si="3"/>
        <v>270</v>
      </c>
      <c r="C40" s="53">
        <f t="shared" si="4"/>
        <v>5</v>
      </c>
      <c r="D40" s="53">
        <f t="shared" si="5"/>
        <v>2</v>
      </c>
      <c r="E40" s="53">
        <f t="shared" si="6"/>
        <v>3</v>
      </c>
      <c r="F40" s="68">
        <f t="shared" si="7"/>
        <v>500</v>
      </c>
      <c r="G40" s="33">
        <f t="shared" si="8"/>
        <v>3.5032185340545405</v>
      </c>
      <c r="H40" s="33">
        <f t="shared" si="0"/>
        <v>0.6402928794081568</v>
      </c>
      <c r="I40" s="33">
        <f t="shared" si="1"/>
        <v>84.54709507188085</v>
      </c>
      <c r="J40" s="33">
        <f t="shared" si="2"/>
        <v>241.34119596024198</v>
      </c>
    </row>
    <row r="41" spans="1:10" ht="12.75">
      <c r="A41" s="68">
        <v>34</v>
      </c>
      <c r="B41" s="68">
        <f t="shared" si="3"/>
        <v>270</v>
      </c>
      <c r="C41" s="53">
        <f t="shared" si="4"/>
        <v>5</v>
      </c>
      <c r="D41" s="53">
        <f t="shared" si="5"/>
        <v>2</v>
      </c>
      <c r="E41" s="53">
        <f t="shared" si="6"/>
        <v>3</v>
      </c>
      <c r="F41" s="68">
        <f t="shared" si="7"/>
        <v>500</v>
      </c>
      <c r="G41" s="33">
        <f t="shared" si="8"/>
        <v>3.7221696924329497</v>
      </c>
      <c r="H41" s="33">
        <f t="shared" si="0"/>
        <v>0.6333545602502142</v>
      </c>
      <c r="I41" s="33">
        <f t="shared" si="1"/>
        <v>85.45859181337254</v>
      </c>
      <c r="J41" s="33">
        <f t="shared" si="2"/>
        <v>229.5934867964432</v>
      </c>
    </row>
    <row r="42" spans="1:10" ht="12.75">
      <c r="A42" s="68">
        <v>36</v>
      </c>
      <c r="B42" s="68">
        <f t="shared" si="3"/>
        <v>270</v>
      </c>
      <c r="C42" s="53">
        <f t="shared" si="4"/>
        <v>5</v>
      </c>
      <c r="D42" s="53">
        <f t="shared" si="5"/>
        <v>2</v>
      </c>
      <c r="E42" s="53">
        <f t="shared" si="6"/>
        <v>3</v>
      </c>
      <c r="F42" s="68">
        <f t="shared" si="7"/>
        <v>500</v>
      </c>
      <c r="G42" s="33">
        <f t="shared" si="8"/>
        <v>3.941120850811359</v>
      </c>
      <c r="H42" s="33">
        <f t="shared" si="0"/>
        <v>0.6273144254571918</v>
      </c>
      <c r="I42" s="33">
        <f t="shared" si="1"/>
        <v>86.26850578980786</v>
      </c>
      <c r="J42" s="33">
        <f t="shared" si="2"/>
        <v>218.89332769901677</v>
      </c>
    </row>
    <row r="43" spans="1:10" ht="12.75">
      <c r="A43" s="68">
        <v>38</v>
      </c>
      <c r="B43" s="68">
        <f t="shared" si="3"/>
        <v>270</v>
      </c>
      <c r="C43" s="53">
        <f t="shared" si="4"/>
        <v>5</v>
      </c>
      <c r="D43" s="53">
        <f t="shared" si="5"/>
        <v>2</v>
      </c>
      <c r="E43" s="53">
        <f t="shared" si="6"/>
        <v>3</v>
      </c>
      <c r="F43" s="68">
        <f t="shared" si="7"/>
        <v>500</v>
      </c>
      <c r="G43" s="33">
        <f t="shared" si="8"/>
        <v>4.160072009189768</v>
      </c>
      <c r="H43" s="33">
        <f t="shared" si="0"/>
        <v>0.6220086198366216</v>
      </c>
      <c r="I43" s="33">
        <f t="shared" si="1"/>
        <v>86.99292905976661</v>
      </c>
      <c r="J43" s="33">
        <f t="shared" si="2"/>
        <v>209.1139981894441</v>
      </c>
    </row>
    <row r="44" spans="1:10" ht="12.75">
      <c r="A44" s="68">
        <v>40</v>
      </c>
      <c r="B44" s="68">
        <f t="shared" si="3"/>
        <v>270</v>
      </c>
      <c r="C44" s="53">
        <f t="shared" si="4"/>
        <v>5</v>
      </c>
      <c r="D44" s="53">
        <f t="shared" si="5"/>
        <v>2</v>
      </c>
      <c r="E44" s="53">
        <f t="shared" si="6"/>
        <v>3</v>
      </c>
      <c r="F44" s="68">
        <f t="shared" si="7"/>
        <v>500</v>
      </c>
      <c r="G44" s="33">
        <f t="shared" si="8"/>
        <v>4.379023167568176</v>
      </c>
      <c r="H44" s="33">
        <f t="shared" si="0"/>
        <v>0.6173108694714452</v>
      </c>
      <c r="I44" s="33">
        <f t="shared" si="1"/>
        <v>87.64472381359818</v>
      </c>
      <c r="J44" s="33">
        <f t="shared" si="2"/>
        <v>200.14674611157707</v>
      </c>
    </row>
    <row r="45" spans="1:10" ht="12.75">
      <c r="A45" s="69">
        <v>10</v>
      </c>
      <c r="B45" s="69">
        <f>Step7!N26</f>
        <v>300</v>
      </c>
      <c r="C45" s="70">
        <f>Data3!C44</f>
        <v>5</v>
      </c>
      <c r="D45" s="70">
        <f>Data3!D44</f>
        <v>2</v>
      </c>
      <c r="E45" s="70">
        <f>Data3!E44</f>
        <v>3</v>
      </c>
      <c r="F45" s="69">
        <f>Data3!F44</f>
        <v>500</v>
      </c>
      <c r="G45" s="70">
        <f aca="true" t="shared" si="9" ref="G45:G76">(-1*A45*1000*B45*0.000000000001*LN((C45-E45)/(C45-D45)))*1000000</f>
        <v>1.2163953243244934</v>
      </c>
      <c r="H45" s="70">
        <f aca="true" t="shared" si="10" ref="H45:H76">A45*1000*B45*0.000000000001*-1*LN((D45-C45+F45*0.000001*A45*1000)/(F45*0.000001*A45*1000+E45-C45))*1000000</f>
        <v>1.2163953243244934</v>
      </c>
      <c r="I45" s="71">
        <f aca="true" t="shared" si="11" ref="I45:I76">G45/(G45+H45)*100</f>
        <v>50</v>
      </c>
      <c r="J45" s="70">
        <f aca="true" t="shared" si="12" ref="J45:J76">(1/((G45+H45)*0.000001))/1000</f>
        <v>411.0505770627385</v>
      </c>
    </row>
    <row r="46" spans="1:10" ht="12.75">
      <c r="A46" s="68">
        <v>12</v>
      </c>
      <c r="B46" s="68">
        <f aca="true" t="shared" si="13" ref="B46:B60">B45</f>
        <v>300</v>
      </c>
      <c r="C46" s="53">
        <f aca="true" t="shared" si="14" ref="C46:C60">C45</f>
        <v>5</v>
      </c>
      <c r="D46" s="53">
        <f aca="true" t="shared" si="15" ref="D46:D60">D45</f>
        <v>2</v>
      </c>
      <c r="E46" s="53">
        <f aca="true" t="shared" si="16" ref="E46:E60">E45</f>
        <v>3</v>
      </c>
      <c r="F46" s="68">
        <f aca="true" t="shared" si="17" ref="F46:F60">F45</f>
        <v>500</v>
      </c>
      <c r="G46" s="33">
        <f t="shared" si="9"/>
        <v>1.4596743891893917</v>
      </c>
      <c r="H46" s="33">
        <f t="shared" si="10"/>
        <v>1.0356554608264112</v>
      </c>
      <c r="I46" s="43">
        <f t="shared" si="11"/>
        <v>58.49625007211562</v>
      </c>
      <c r="J46" s="33">
        <f t="shared" si="12"/>
        <v>400.7486224691566</v>
      </c>
    </row>
    <row r="47" spans="1:10" ht="12.75">
      <c r="A47" s="68">
        <v>14</v>
      </c>
      <c r="B47" s="68">
        <f t="shared" si="13"/>
        <v>300</v>
      </c>
      <c r="C47" s="53">
        <f t="shared" si="14"/>
        <v>5</v>
      </c>
      <c r="D47" s="53">
        <f t="shared" si="15"/>
        <v>2</v>
      </c>
      <c r="E47" s="53">
        <f t="shared" si="16"/>
        <v>3</v>
      </c>
      <c r="F47" s="68">
        <f t="shared" si="17"/>
        <v>500</v>
      </c>
      <c r="G47" s="33">
        <f t="shared" si="9"/>
        <v>1.7029534540542905</v>
      </c>
      <c r="H47" s="33">
        <f t="shared" si="10"/>
        <v>0.9372029155196806</v>
      </c>
      <c r="I47" s="43">
        <f t="shared" si="11"/>
        <v>64.50199214257478</v>
      </c>
      <c r="J47" s="33">
        <f t="shared" si="12"/>
        <v>378.7654441700229</v>
      </c>
    </row>
    <row r="48" spans="1:10" ht="12.75">
      <c r="A48" s="68">
        <v>16</v>
      </c>
      <c r="B48" s="68">
        <f t="shared" si="13"/>
        <v>300</v>
      </c>
      <c r="C48" s="53">
        <f t="shared" si="14"/>
        <v>5</v>
      </c>
      <c r="D48" s="53">
        <f t="shared" si="15"/>
        <v>2</v>
      </c>
      <c r="E48" s="53">
        <f t="shared" si="16"/>
        <v>3</v>
      </c>
      <c r="F48" s="68">
        <f t="shared" si="17"/>
        <v>500</v>
      </c>
      <c r="G48" s="33">
        <f t="shared" si="9"/>
        <v>1.9462325189191894</v>
      </c>
      <c r="H48" s="33">
        <f t="shared" si="10"/>
        <v>0.875143472610982</v>
      </c>
      <c r="I48" s="43">
        <f t="shared" si="11"/>
        <v>68.98167861220267</v>
      </c>
      <c r="J48" s="33">
        <f t="shared" si="12"/>
        <v>354.4369850037785</v>
      </c>
    </row>
    <row r="49" spans="1:10" ht="12.75">
      <c r="A49" s="68">
        <v>18</v>
      </c>
      <c r="B49" s="68">
        <f t="shared" si="13"/>
        <v>300</v>
      </c>
      <c r="C49" s="53">
        <f t="shared" si="14"/>
        <v>5</v>
      </c>
      <c r="D49" s="53">
        <f t="shared" si="15"/>
        <v>2</v>
      </c>
      <c r="E49" s="53">
        <f t="shared" si="16"/>
        <v>3</v>
      </c>
      <c r="F49" s="68">
        <f t="shared" si="17"/>
        <v>500</v>
      </c>
      <c r="G49" s="33">
        <f t="shared" si="9"/>
        <v>2.189511583784088</v>
      </c>
      <c r="H49" s="33">
        <f t="shared" si="10"/>
        <v>0.8324136710671944</v>
      </c>
      <c r="I49" s="33">
        <f t="shared" si="11"/>
        <v>72.4541939040064</v>
      </c>
      <c r="J49" s="33">
        <f t="shared" si="12"/>
        <v>330.91486905397096</v>
      </c>
    </row>
    <row r="50" spans="1:10" ht="12.75">
      <c r="A50" s="68">
        <v>20</v>
      </c>
      <c r="B50" s="68">
        <f t="shared" si="13"/>
        <v>300</v>
      </c>
      <c r="C50" s="53">
        <f t="shared" si="14"/>
        <v>5</v>
      </c>
      <c r="D50" s="53">
        <f t="shared" si="15"/>
        <v>2</v>
      </c>
      <c r="E50" s="53">
        <f t="shared" si="16"/>
        <v>3</v>
      </c>
      <c r="F50" s="68">
        <f t="shared" si="17"/>
        <v>500</v>
      </c>
      <c r="G50" s="33">
        <f t="shared" si="9"/>
        <v>2.4327906486489868</v>
      </c>
      <c r="H50" s="33">
        <f t="shared" si="10"/>
        <v>0.8011883557471358</v>
      </c>
      <c r="I50" s="33">
        <f t="shared" si="11"/>
        <v>75.22592587465667</v>
      </c>
      <c r="J50" s="33">
        <f t="shared" si="12"/>
        <v>309.2166024085642</v>
      </c>
    </row>
    <row r="51" spans="1:10" ht="12.75">
      <c r="A51" s="68">
        <v>22</v>
      </c>
      <c r="B51" s="68">
        <f t="shared" si="13"/>
        <v>300</v>
      </c>
      <c r="C51" s="53">
        <f t="shared" si="14"/>
        <v>5</v>
      </c>
      <c r="D51" s="53">
        <f t="shared" si="15"/>
        <v>2</v>
      </c>
      <c r="E51" s="53">
        <f t="shared" si="16"/>
        <v>3</v>
      </c>
      <c r="F51" s="68">
        <f t="shared" si="17"/>
        <v>500</v>
      </c>
      <c r="G51" s="33">
        <f t="shared" si="9"/>
        <v>2.676069713513885</v>
      </c>
      <c r="H51" s="33">
        <f t="shared" si="10"/>
        <v>0.7773680353321311</v>
      </c>
      <c r="I51" s="33">
        <f t="shared" si="11"/>
        <v>77.49002322129905</v>
      </c>
      <c r="J51" s="33">
        <f t="shared" si="12"/>
        <v>289.5665341974545</v>
      </c>
    </row>
    <row r="52" spans="1:10" ht="12.75">
      <c r="A52" s="68">
        <v>24</v>
      </c>
      <c r="B52" s="68">
        <f t="shared" si="13"/>
        <v>300</v>
      </c>
      <c r="C52" s="53">
        <f t="shared" si="14"/>
        <v>5</v>
      </c>
      <c r="D52" s="53">
        <f t="shared" si="15"/>
        <v>2</v>
      </c>
      <c r="E52" s="53">
        <f t="shared" si="16"/>
        <v>3</v>
      </c>
      <c r="F52" s="68">
        <f t="shared" si="17"/>
        <v>500</v>
      </c>
      <c r="G52" s="33">
        <f t="shared" si="9"/>
        <v>2.9193487783787835</v>
      </c>
      <c r="H52" s="33">
        <f t="shared" si="10"/>
        <v>0.7585957127363492</v>
      </c>
      <c r="I52" s="33">
        <f t="shared" si="11"/>
        <v>79.37446542303994</v>
      </c>
      <c r="J52" s="33">
        <f t="shared" si="12"/>
        <v>271.8909984682247</v>
      </c>
    </row>
    <row r="53" spans="1:10" ht="12.75">
      <c r="A53" s="68">
        <v>26</v>
      </c>
      <c r="B53" s="68">
        <f t="shared" si="13"/>
        <v>300</v>
      </c>
      <c r="C53" s="53">
        <f t="shared" si="14"/>
        <v>5</v>
      </c>
      <c r="D53" s="53">
        <f t="shared" si="15"/>
        <v>2</v>
      </c>
      <c r="E53" s="53">
        <f t="shared" si="16"/>
        <v>3</v>
      </c>
      <c r="F53" s="68">
        <f t="shared" si="17"/>
        <v>500</v>
      </c>
      <c r="G53" s="33">
        <f t="shared" si="9"/>
        <v>3.1626278432436825</v>
      </c>
      <c r="H53" s="33">
        <f t="shared" si="10"/>
        <v>0.7434194024737322</v>
      </c>
      <c r="I53" s="33">
        <f t="shared" si="11"/>
        <v>80.96747541165007</v>
      </c>
      <c r="J53" s="33">
        <f t="shared" si="12"/>
        <v>256.0132883943989</v>
      </c>
    </row>
    <row r="54" spans="1:10" ht="12.75">
      <c r="A54" s="68">
        <v>28</v>
      </c>
      <c r="B54" s="68">
        <f t="shared" si="13"/>
        <v>300</v>
      </c>
      <c r="C54" s="53">
        <f t="shared" si="14"/>
        <v>5</v>
      </c>
      <c r="D54" s="53">
        <f t="shared" si="15"/>
        <v>2</v>
      </c>
      <c r="E54" s="53">
        <f t="shared" si="16"/>
        <v>3</v>
      </c>
      <c r="F54" s="68">
        <f t="shared" si="17"/>
        <v>500</v>
      </c>
      <c r="G54" s="33">
        <f t="shared" si="9"/>
        <v>3.405906908108581</v>
      </c>
      <c r="H54" s="33">
        <f t="shared" si="10"/>
        <v>0.7308955667128904</v>
      </c>
      <c r="I54" s="33">
        <f t="shared" si="11"/>
        <v>82.33187174970367</v>
      </c>
      <c r="J54" s="33">
        <f t="shared" si="12"/>
        <v>241.73259566693625</v>
      </c>
    </row>
    <row r="55" spans="1:10" ht="12.75">
      <c r="A55" s="68">
        <v>30</v>
      </c>
      <c r="B55" s="68">
        <f t="shared" si="13"/>
        <v>300</v>
      </c>
      <c r="C55" s="53">
        <f t="shared" si="14"/>
        <v>5</v>
      </c>
      <c r="D55" s="53">
        <f t="shared" si="15"/>
        <v>2</v>
      </c>
      <c r="E55" s="53">
        <f t="shared" si="16"/>
        <v>3</v>
      </c>
      <c r="F55" s="68">
        <f t="shared" si="17"/>
        <v>500</v>
      </c>
      <c r="G55" s="33">
        <f t="shared" si="9"/>
        <v>3.64918597297348</v>
      </c>
      <c r="H55" s="33">
        <f t="shared" si="10"/>
        <v>0.7203843690618273</v>
      </c>
      <c r="I55" s="33">
        <f t="shared" si="11"/>
        <v>83.51361088911368</v>
      </c>
      <c r="J55" s="33">
        <f t="shared" si="12"/>
        <v>228.85545299042124</v>
      </c>
    </row>
    <row r="56" spans="1:10" ht="12.75">
      <c r="A56" s="68">
        <v>32</v>
      </c>
      <c r="B56" s="68">
        <f t="shared" si="13"/>
        <v>300</v>
      </c>
      <c r="C56" s="53">
        <f t="shared" si="14"/>
        <v>5</v>
      </c>
      <c r="D56" s="53">
        <f t="shared" si="15"/>
        <v>2</v>
      </c>
      <c r="E56" s="53">
        <f t="shared" si="16"/>
        <v>3</v>
      </c>
      <c r="F56" s="68">
        <f t="shared" si="17"/>
        <v>500</v>
      </c>
      <c r="G56" s="33">
        <f t="shared" si="9"/>
        <v>3.8924650378383787</v>
      </c>
      <c r="H56" s="33">
        <f t="shared" si="10"/>
        <v>0.7114365326757297</v>
      </c>
      <c r="I56" s="33">
        <f t="shared" si="11"/>
        <v>84.54709507188085</v>
      </c>
      <c r="J56" s="33">
        <f t="shared" si="12"/>
        <v>217.20707636421776</v>
      </c>
    </row>
    <row r="57" spans="1:10" ht="12.75">
      <c r="A57" s="68">
        <v>34</v>
      </c>
      <c r="B57" s="68">
        <f t="shared" si="13"/>
        <v>300</v>
      </c>
      <c r="C57" s="53">
        <f t="shared" si="14"/>
        <v>5</v>
      </c>
      <c r="D57" s="53">
        <f t="shared" si="15"/>
        <v>2</v>
      </c>
      <c r="E57" s="53">
        <f t="shared" si="16"/>
        <v>3</v>
      </c>
      <c r="F57" s="68">
        <f t="shared" si="17"/>
        <v>500</v>
      </c>
      <c r="G57" s="33">
        <f t="shared" si="9"/>
        <v>4.135744102703277</v>
      </c>
      <c r="H57" s="33">
        <f t="shared" si="10"/>
        <v>0.7037272891669047</v>
      </c>
      <c r="I57" s="33">
        <f t="shared" si="11"/>
        <v>85.45859181337254</v>
      </c>
      <c r="J57" s="33">
        <f t="shared" si="12"/>
        <v>206.6341381167989</v>
      </c>
    </row>
    <row r="58" spans="1:10" ht="12.75">
      <c r="A58" s="68">
        <v>36</v>
      </c>
      <c r="B58" s="68">
        <f t="shared" si="13"/>
        <v>300</v>
      </c>
      <c r="C58" s="53">
        <f t="shared" si="14"/>
        <v>5</v>
      </c>
      <c r="D58" s="53">
        <f t="shared" si="15"/>
        <v>2</v>
      </c>
      <c r="E58" s="53">
        <f t="shared" si="16"/>
        <v>3</v>
      </c>
      <c r="F58" s="68">
        <f t="shared" si="17"/>
        <v>500</v>
      </c>
      <c r="G58" s="33">
        <f t="shared" si="9"/>
        <v>4.379023167568176</v>
      </c>
      <c r="H58" s="33">
        <f t="shared" si="10"/>
        <v>0.6970160282857688</v>
      </c>
      <c r="I58" s="33">
        <f t="shared" si="11"/>
        <v>86.26850578980785</v>
      </c>
      <c r="J58" s="33">
        <f t="shared" si="12"/>
        <v>197.0039949291151</v>
      </c>
    </row>
    <row r="59" spans="1:10" ht="12.75">
      <c r="A59" s="68">
        <v>38</v>
      </c>
      <c r="B59" s="68">
        <f t="shared" si="13"/>
        <v>300</v>
      </c>
      <c r="C59" s="53">
        <f t="shared" si="14"/>
        <v>5</v>
      </c>
      <c r="D59" s="53">
        <f t="shared" si="15"/>
        <v>2</v>
      </c>
      <c r="E59" s="53">
        <f t="shared" si="16"/>
        <v>3</v>
      </c>
      <c r="F59" s="68">
        <f t="shared" si="17"/>
        <v>500</v>
      </c>
      <c r="G59" s="33">
        <f t="shared" si="9"/>
        <v>4.622302232433075</v>
      </c>
      <c r="H59" s="33">
        <f t="shared" si="10"/>
        <v>0.6911206887073573</v>
      </c>
      <c r="I59" s="33">
        <f t="shared" si="11"/>
        <v>86.99292905976661</v>
      </c>
      <c r="J59" s="33">
        <f t="shared" si="12"/>
        <v>188.2025983704997</v>
      </c>
    </row>
    <row r="60" spans="1:10" ht="12.75">
      <c r="A60" s="68">
        <v>40</v>
      </c>
      <c r="B60" s="68">
        <f t="shared" si="13"/>
        <v>300</v>
      </c>
      <c r="C60" s="53">
        <f t="shared" si="14"/>
        <v>5</v>
      </c>
      <c r="D60" s="53">
        <f t="shared" si="15"/>
        <v>2</v>
      </c>
      <c r="E60" s="53">
        <f t="shared" si="16"/>
        <v>3</v>
      </c>
      <c r="F60" s="68">
        <f t="shared" si="17"/>
        <v>500</v>
      </c>
      <c r="G60" s="33">
        <f t="shared" si="9"/>
        <v>4.8655812972979735</v>
      </c>
      <c r="H60" s="33">
        <f t="shared" si="10"/>
        <v>0.6859009660793837</v>
      </c>
      <c r="I60" s="33">
        <f t="shared" si="11"/>
        <v>87.64472381359816</v>
      </c>
      <c r="J60" s="33">
        <f t="shared" si="12"/>
        <v>180.13207150041936</v>
      </c>
    </row>
    <row r="61" spans="1:10" ht="12.75">
      <c r="A61" s="69">
        <v>10</v>
      </c>
      <c r="B61" s="69">
        <f>Step7!O26</f>
        <v>330</v>
      </c>
      <c r="C61" s="70">
        <f aca="true" t="shared" si="18" ref="C61:C76">C60</f>
        <v>5</v>
      </c>
      <c r="D61" s="70">
        <f aca="true" t="shared" si="19" ref="D61:D76">D60</f>
        <v>2</v>
      </c>
      <c r="E61" s="70">
        <f aca="true" t="shared" si="20" ref="E61:E76">E60</f>
        <v>3</v>
      </c>
      <c r="F61" s="69">
        <f aca="true" t="shared" si="21" ref="F61:F76">F60</f>
        <v>500</v>
      </c>
      <c r="G61" s="70">
        <f t="shared" si="9"/>
        <v>1.3380348567569424</v>
      </c>
      <c r="H61" s="70">
        <f t="shared" si="10"/>
        <v>1.3380348567569424</v>
      </c>
      <c r="I61" s="71">
        <f t="shared" si="11"/>
        <v>50</v>
      </c>
      <c r="J61" s="70">
        <f t="shared" si="12"/>
        <v>373.6823427843078</v>
      </c>
    </row>
    <row r="62" spans="1:10" ht="12.75">
      <c r="A62" s="68">
        <v>12</v>
      </c>
      <c r="B62" s="68">
        <f aca="true" t="shared" si="22" ref="B62:B76">B61</f>
        <v>330</v>
      </c>
      <c r="C62" s="53">
        <f t="shared" si="18"/>
        <v>5</v>
      </c>
      <c r="D62" s="53">
        <f t="shared" si="19"/>
        <v>2</v>
      </c>
      <c r="E62" s="53">
        <f t="shared" si="20"/>
        <v>3</v>
      </c>
      <c r="F62" s="68">
        <f t="shared" si="21"/>
        <v>500</v>
      </c>
      <c r="G62" s="33">
        <f t="shared" si="9"/>
        <v>1.6056418281083313</v>
      </c>
      <c r="H62" s="33">
        <f t="shared" si="10"/>
        <v>1.1392210069090525</v>
      </c>
      <c r="I62" s="43">
        <f t="shared" si="11"/>
        <v>58.49625007211563</v>
      </c>
      <c r="J62" s="33">
        <f t="shared" si="12"/>
        <v>364.316929517415</v>
      </c>
    </row>
    <row r="63" spans="1:10" ht="12.75">
      <c r="A63" s="68">
        <v>14</v>
      </c>
      <c r="B63" s="68">
        <f t="shared" si="22"/>
        <v>330</v>
      </c>
      <c r="C63" s="53">
        <f t="shared" si="18"/>
        <v>5</v>
      </c>
      <c r="D63" s="53">
        <f t="shared" si="19"/>
        <v>2</v>
      </c>
      <c r="E63" s="53">
        <f t="shared" si="20"/>
        <v>3</v>
      </c>
      <c r="F63" s="68">
        <f t="shared" si="21"/>
        <v>500</v>
      </c>
      <c r="G63" s="33">
        <f t="shared" si="9"/>
        <v>1.8732487994597198</v>
      </c>
      <c r="H63" s="33">
        <f t="shared" si="10"/>
        <v>1.0309232070716488</v>
      </c>
      <c r="I63" s="43">
        <f t="shared" si="11"/>
        <v>64.50199214257479</v>
      </c>
      <c r="J63" s="33">
        <f t="shared" si="12"/>
        <v>344.332221972748</v>
      </c>
    </row>
    <row r="64" spans="1:10" ht="12.75">
      <c r="A64" s="68">
        <v>16</v>
      </c>
      <c r="B64" s="68">
        <f t="shared" si="22"/>
        <v>330</v>
      </c>
      <c r="C64" s="53">
        <f t="shared" si="18"/>
        <v>5</v>
      </c>
      <c r="D64" s="53">
        <f t="shared" si="19"/>
        <v>2</v>
      </c>
      <c r="E64" s="53">
        <f t="shared" si="20"/>
        <v>3</v>
      </c>
      <c r="F64" s="68">
        <f t="shared" si="21"/>
        <v>500</v>
      </c>
      <c r="G64" s="33">
        <f t="shared" si="9"/>
        <v>2.1408557708111084</v>
      </c>
      <c r="H64" s="33">
        <f t="shared" si="10"/>
        <v>0.9626578198720802</v>
      </c>
      <c r="I64" s="43">
        <f t="shared" si="11"/>
        <v>68.98167861220269</v>
      </c>
      <c r="J64" s="33">
        <f t="shared" si="12"/>
        <v>322.21544091252593</v>
      </c>
    </row>
    <row r="65" spans="1:10" ht="12.75">
      <c r="A65" s="68">
        <v>18</v>
      </c>
      <c r="B65" s="68">
        <f t="shared" si="22"/>
        <v>330</v>
      </c>
      <c r="C65" s="53">
        <f t="shared" si="18"/>
        <v>5</v>
      </c>
      <c r="D65" s="53">
        <f t="shared" si="19"/>
        <v>2</v>
      </c>
      <c r="E65" s="53">
        <f t="shared" si="20"/>
        <v>3</v>
      </c>
      <c r="F65" s="68">
        <f t="shared" si="21"/>
        <v>500</v>
      </c>
      <c r="G65" s="33">
        <f t="shared" si="9"/>
        <v>2.4084627421624965</v>
      </c>
      <c r="H65" s="33">
        <f t="shared" si="10"/>
        <v>0.9156550381739138</v>
      </c>
      <c r="I65" s="33">
        <f t="shared" si="11"/>
        <v>72.4541939040064</v>
      </c>
      <c r="J65" s="33">
        <f t="shared" si="12"/>
        <v>300.8316991399737</v>
      </c>
    </row>
    <row r="66" spans="1:10" ht="12.75">
      <c r="A66" s="68">
        <v>20</v>
      </c>
      <c r="B66" s="68">
        <f t="shared" si="22"/>
        <v>330</v>
      </c>
      <c r="C66" s="53">
        <f t="shared" si="18"/>
        <v>5</v>
      </c>
      <c r="D66" s="53">
        <f t="shared" si="19"/>
        <v>2</v>
      </c>
      <c r="E66" s="53">
        <f t="shared" si="20"/>
        <v>3</v>
      </c>
      <c r="F66" s="68">
        <f t="shared" si="21"/>
        <v>500</v>
      </c>
      <c r="G66" s="33">
        <f t="shared" si="9"/>
        <v>2.676069713513885</v>
      </c>
      <c r="H66" s="33">
        <f t="shared" si="10"/>
        <v>0.8813071913218493</v>
      </c>
      <c r="I66" s="33">
        <f t="shared" si="11"/>
        <v>75.22592587465667</v>
      </c>
      <c r="J66" s="33">
        <f t="shared" si="12"/>
        <v>281.1060021896039</v>
      </c>
    </row>
    <row r="67" spans="1:10" ht="12.75">
      <c r="A67" s="68">
        <v>22</v>
      </c>
      <c r="B67" s="68">
        <f t="shared" si="22"/>
        <v>330</v>
      </c>
      <c r="C67" s="53">
        <f t="shared" si="18"/>
        <v>5</v>
      </c>
      <c r="D67" s="53">
        <f t="shared" si="19"/>
        <v>2</v>
      </c>
      <c r="E67" s="53">
        <f t="shared" si="20"/>
        <v>3</v>
      </c>
      <c r="F67" s="68">
        <f t="shared" si="21"/>
        <v>500</v>
      </c>
      <c r="G67" s="33">
        <f t="shared" si="9"/>
        <v>2.943676684865274</v>
      </c>
      <c r="H67" s="33">
        <f t="shared" si="10"/>
        <v>0.8551048388653443</v>
      </c>
      <c r="I67" s="33">
        <f t="shared" si="11"/>
        <v>77.49002322129905</v>
      </c>
      <c r="J67" s="33">
        <f t="shared" si="12"/>
        <v>263.2423038158676</v>
      </c>
    </row>
    <row r="68" spans="1:10" ht="12.75">
      <c r="A68" s="68">
        <v>24</v>
      </c>
      <c r="B68" s="68">
        <f t="shared" si="22"/>
        <v>330</v>
      </c>
      <c r="C68" s="53">
        <f t="shared" si="18"/>
        <v>5</v>
      </c>
      <c r="D68" s="53">
        <f t="shared" si="19"/>
        <v>2</v>
      </c>
      <c r="E68" s="53">
        <f t="shared" si="20"/>
        <v>3</v>
      </c>
      <c r="F68" s="68">
        <f t="shared" si="21"/>
        <v>500</v>
      </c>
      <c r="G68" s="33">
        <f t="shared" si="9"/>
        <v>3.2112836562166627</v>
      </c>
      <c r="H68" s="33">
        <f t="shared" si="10"/>
        <v>0.8344552840099843</v>
      </c>
      <c r="I68" s="33">
        <f t="shared" si="11"/>
        <v>79.37446542303995</v>
      </c>
      <c r="J68" s="33">
        <f t="shared" si="12"/>
        <v>247.1736349711133</v>
      </c>
    </row>
    <row r="69" spans="1:10" ht="12.75">
      <c r="A69" s="68">
        <v>26</v>
      </c>
      <c r="B69" s="68">
        <f t="shared" si="22"/>
        <v>330</v>
      </c>
      <c r="C69" s="53">
        <f t="shared" si="18"/>
        <v>5</v>
      </c>
      <c r="D69" s="53">
        <f t="shared" si="19"/>
        <v>2</v>
      </c>
      <c r="E69" s="53">
        <f t="shared" si="20"/>
        <v>3</v>
      </c>
      <c r="F69" s="68">
        <f t="shared" si="21"/>
        <v>500</v>
      </c>
      <c r="G69" s="33">
        <f t="shared" si="9"/>
        <v>3.4788906275680507</v>
      </c>
      <c r="H69" s="33">
        <f t="shared" si="10"/>
        <v>0.8177613427211053</v>
      </c>
      <c r="I69" s="33">
        <f t="shared" si="11"/>
        <v>80.96747541165006</v>
      </c>
      <c r="J69" s="33">
        <f t="shared" si="12"/>
        <v>232.7393530858172</v>
      </c>
    </row>
    <row r="70" spans="1:10" ht="12.75">
      <c r="A70" s="68">
        <v>28</v>
      </c>
      <c r="B70" s="68">
        <f t="shared" si="22"/>
        <v>330</v>
      </c>
      <c r="C70" s="53">
        <f t="shared" si="18"/>
        <v>5</v>
      </c>
      <c r="D70" s="53">
        <f t="shared" si="19"/>
        <v>2</v>
      </c>
      <c r="E70" s="53">
        <f t="shared" si="20"/>
        <v>3</v>
      </c>
      <c r="F70" s="68">
        <f t="shared" si="21"/>
        <v>500</v>
      </c>
      <c r="G70" s="33">
        <f t="shared" si="9"/>
        <v>3.7464975989194396</v>
      </c>
      <c r="H70" s="33">
        <f t="shared" si="10"/>
        <v>0.8039851233841794</v>
      </c>
      <c r="I70" s="33">
        <f t="shared" si="11"/>
        <v>82.33187174970365</v>
      </c>
      <c r="J70" s="33">
        <f t="shared" si="12"/>
        <v>219.75690515176018</v>
      </c>
    </row>
    <row r="71" spans="1:10" ht="12.75">
      <c r="A71" s="68">
        <v>30</v>
      </c>
      <c r="B71" s="68">
        <f t="shared" si="22"/>
        <v>330</v>
      </c>
      <c r="C71" s="53">
        <f t="shared" si="18"/>
        <v>5</v>
      </c>
      <c r="D71" s="53">
        <f t="shared" si="19"/>
        <v>2</v>
      </c>
      <c r="E71" s="53">
        <f t="shared" si="20"/>
        <v>3</v>
      </c>
      <c r="F71" s="68">
        <f t="shared" si="21"/>
        <v>500</v>
      </c>
      <c r="G71" s="33">
        <f t="shared" si="9"/>
        <v>4.0141045702708285</v>
      </c>
      <c r="H71" s="33">
        <f t="shared" si="10"/>
        <v>0.7924228059680101</v>
      </c>
      <c r="I71" s="33">
        <f t="shared" si="11"/>
        <v>83.51361088911368</v>
      </c>
      <c r="J71" s="33">
        <f t="shared" si="12"/>
        <v>208.05041180947384</v>
      </c>
    </row>
    <row r="72" spans="1:10" ht="12.75">
      <c r="A72" s="68">
        <v>32</v>
      </c>
      <c r="B72" s="68">
        <f t="shared" si="22"/>
        <v>330</v>
      </c>
      <c r="C72" s="53">
        <f t="shared" si="18"/>
        <v>5</v>
      </c>
      <c r="D72" s="53">
        <f t="shared" si="19"/>
        <v>2</v>
      </c>
      <c r="E72" s="53">
        <f t="shared" si="20"/>
        <v>3</v>
      </c>
      <c r="F72" s="68">
        <f t="shared" si="21"/>
        <v>500</v>
      </c>
      <c r="G72" s="33">
        <f t="shared" si="9"/>
        <v>4.281711541622217</v>
      </c>
      <c r="H72" s="33">
        <f t="shared" si="10"/>
        <v>0.7825801859433027</v>
      </c>
      <c r="I72" s="33">
        <f t="shared" si="11"/>
        <v>84.54709507188085</v>
      </c>
      <c r="J72" s="33">
        <f t="shared" si="12"/>
        <v>197.46097851292524</v>
      </c>
    </row>
    <row r="73" spans="1:10" ht="12.75">
      <c r="A73" s="68">
        <v>34</v>
      </c>
      <c r="B73" s="68">
        <f t="shared" si="22"/>
        <v>330</v>
      </c>
      <c r="C73" s="53">
        <f t="shared" si="18"/>
        <v>5</v>
      </c>
      <c r="D73" s="53">
        <f t="shared" si="19"/>
        <v>2</v>
      </c>
      <c r="E73" s="53">
        <f t="shared" si="20"/>
        <v>3</v>
      </c>
      <c r="F73" s="68">
        <f t="shared" si="21"/>
        <v>500</v>
      </c>
      <c r="G73" s="33">
        <f t="shared" si="9"/>
        <v>4.549318512973605</v>
      </c>
      <c r="H73" s="33">
        <f t="shared" si="10"/>
        <v>0.7741000180835951</v>
      </c>
      <c r="I73" s="33">
        <f t="shared" si="11"/>
        <v>85.45859181337254</v>
      </c>
      <c r="J73" s="33">
        <f t="shared" si="12"/>
        <v>187.84921646981715</v>
      </c>
    </row>
    <row r="74" spans="1:10" ht="12.75">
      <c r="A74" s="68">
        <v>36</v>
      </c>
      <c r="B74" s="68">
        <f t="shared" si="22"/>
        <v>330</v>
      </c>
      <c r="C74" s="53">
        <f t="shared" si="18"/>
        <v>5</v>
      </c>
      <c r="D74" s="53">
        <f t="shared" si="19"/>
        <v>2</v>
      </c>
      <c r="E74" s="53">
        <f t="shared" si="20"/>
        <v>3</v>
      </c>
      <c r="F74" s="68">
        <f t="shared" si="21"/>
        <v>500</v>
      </c>
      <c r="G74" s="33">
        <f t="shared" si="9"/>
        <v>4.816925484324993</v>
      </c>
      <c r="H74" s="33">
        <f t="shared" si="10"/>
        <v>0.7667176311143455</v>
      </c>
      <c r="I74" s="33">
        <f t="shared" si="11"/>
        <v>86.26850578980785</v>
      </c>
      <c r="J74" s="33">
        <f t="shared" si="12"/>
        <v>179.0945408446501</v>
      </c>
    </row>
    <row r="75" spans="1:10" ht="12.75">
      <c r="A75" s="68">
        <v>38</v>
      </c>
      <c r="B75" s="68">
        <f t="shared" si="22"/>
        <v>330</v>
      </c>
      <c r="C75" s="53">
        <f t="shared" si="18"/>
        <v>5</v>
      </c>
      <c r="D75" s="53">
        <f t="shared" si="19"/>
        <v>2</v>
      </c>
      <c r="E75" s="53">
        <f t="shared" si="20"/>
        <v>3</v>
      </c>
      <c r="F75" s="68">
        <f t="shared" si="21"/>
        <v>500</v>
      </c>
      <c r="G75" s="33">
        <f t="shared" si="9"/>
        <v>5.084532455676382</v>
      </c>
      <c r="H75" s="33">
        <f t="shared" si="10"/>
        <v>0.760232757578093</v>
      </c>
      <c r="I75" s="33">
        <f t="shared" si="11"/>
        <v>86.99292905976661</v>
      </c>
      <c r="J75" s="33">
        <f t="shared" si="12"/>
        <v>171.0932712459088</v>
      </c>
    </row>
    <row r="76" spans="1:10" ht="12.75">
      <c r="A76" s="68">
        <v>40</v>
      </c>
      <c r="B76" s="68">
        <f t="shared" si="22"/>
        <v>330</v>
      </c>
      <c r="C76" s="53">
        <f t="shared" si="18"/>
        <v>5</v>
      </c>
      <c r="D76" s="53">
        <f t="shared" si="19"/>
        <v>2</v>
      </c>
      <c r="E76" s="53">
        <f t="shared" si="20"/>
        <v>3</v>
      </c>
      <c r="F76" s="68">
        <f t="shared" si="21"/>
        <v>500</v>
      </c>
      <c r="G76" s="33">
        <f t="shared" si="9"/>
        <v>5.35213942702777</v>
      </c>
      <c r="H76" s="33">
        <f t="shared" si="10"/>
        <v>0.7544910626873219</v>
      </c>
      <c r="I76" s="33">
        <f t="shared" si="11"/>
        <v>87.64472381359818</v>
      </c>
      <c r="J76" s="33">
        <f t="shared" si="12"/>
        <v>163.75642863674491</v>
      </c>
    </row>
    <row r="78" spans="1:5" ht="12.75">
      <c r="A78" s="300" t="s">
        <v>187</v>
      </c>
      <c r="B78" s="300"/>
      <c r="C78" s="300"/>
      <c r="D78" s="300"/>
      <c r="E78" s="300"/>
    </row>
    <row r="79" spans="1:5" ht="12.75">
      <c r="A79" s="125" t="s">
        <v>73</v>
      </c>
      <c r="B79" s="49" t="s">
        <v>74</v>
      </c>
      <c r="C79" s="126" t="str">
        <f>CONCATENATE(A79,Step7!M26,B79)</f>
        <v>CT = 270 pF</v>
      </c>
      <c r="D79" s="126" t="str">
        <f>CONCATENATE(A79,Step7!N26,B79)</f>
        <v>CT = 300 pF</v>
      </c>
      <c r="E79" s="126" t="str">
        <f>CONCATENATE(A79,Step7!O26,B79)</f>
        <v>CT = 330 pF</v>
      </c>
    </row>
    <row r="80" spans="2:5" ht="15.75">
      <c r="B80" s="123"/>
      <c r="C80" s="121"/>
      <c r="D80" s="121"/>
      <c r="E80" s="121"/>
    </row>
    <row r="81" s="117" customFormat="1" ht="12.75"/>
    <row r="83" spans="1:2" ht="12.75">
      <c r="A83" s="299" t="s">
        <v>395</v>
      </c>
      <c r="B83" s="299"/>
    </row>
    <row r="85" spans="1:3" ht="12.75">
      <c r="A85" s="113" t="s">
        <v>235</v>
      </c>
      <c r="B85" s="29">
        <f>(Step8!E5/DCmax+0.7)*(NpNs1/Step8!E4)/Vinmin</f>
        <v>3.608399787347156</v>
      </c>
      <c r="C85" s="3"/>
    </row>
    <row r="86" spans="1:3" ht="12.75">
      <c r="A86" s="113" t="s">
        <v>232</v>
      </c>
      <c r="B86" s="29">
        <f>(Vinmin*Step8!E7/(NpNs1/Step8!E4)-0.7)*DCmax</f>
        <v>11.999999999999998</v>
      </c>
      <c r="C86" s="3" t="s">
        <v>30</v>
      </c>
    </row>
    <row r="87" spans="1:3" ht="12.75">
      <c r="A87" s="113" t="s">
        <v>233</v>
      </c>
      <c r="B87" s="17">
        <f>1.2*(B86-0.5)*(1-DCmin)/f/(Step8!E12*2)*1000000</f>
        <v>620.870681924155</v>
      </c>
      <c r="C87" s="3" t="s">
        <v>234</v>
      </c>
    </row>
    <row r="88" spans="1:3" ht="12.75">
      <c r="A88" s="150" t="s">
        <v>239</v>
      </c>
      <c r="B88" s="17">
        <f>(B86-0.5)*(1-DCmin)/(f*1000)/(Step8!E16*0.000001)*1000</f>
        <v>23.95526047757365</v>
      </c>
      <c r="C88" s="3" t="s">
        <v>197</v>
      </c>
    </row>
    <row r="89" spans="1:3" ht="12.75">
      <c r="A89" s="150" t="s">
        <v>246</v>
      </c>
      <c r="B89" s="22">
        <v>81.6</v>
      </c>
      <c r="C89" s="3" t="s">
        <v>248</v>
      </c>
    </row>
    <row r="90" spans="1:3" ht="12.75">
      <c r="A90" s="150" t="s">
        <v>247</v>
      </c>
      <c r="B90" s="22">
        <v>8.18</v>
      </c>
      <c r="C90" s="3" t="s">
        <v>248</v>
      </c>
    </row>
    <row r="91" spans="1:3" ht="12.75">
      <c r="A91" s="150" t="s">
        <v>254</v>
      </c>
      <c r="B91" s="22">
        <v>8.16</v>
      </c>
      <c r="C91" s="3" t="s">
        <v>248</v>
      </c>
    </row>
    <row r="92" spans="1:3" ht="12.75">
      <c r="A92" s="150" t="s">
        <v>255</v>
      </c>
      <c r="B92" s="22">
        <v>81.6</v>
      </c>
      <c r="C92" s="3" t="s">
        <v>248</v>
      </c>
    </row>
    <row r="93" spans="1:3" ht="12.75">
      <c r="A93" s="150" t="s">
        <v>527</v>
      </c>
      <c r="B93" s="16">
        <f>Step8!K16*3/Issc*1000</f>
        <v>25</v>
      </c>
      <c r="C93" s="3" t="s">
        <v>492</v>
      </c>
    </row>
    <row r="94" spans="1:3" ht="12.75">
      <c r="A94" s="113" t="s">
        <v>256</v>
      </c>
      <c r="B94" s="145">
        <f>(DCmax*3+0.2)*Step8!K16/(Issd*0.001)</f>
        <v>1.7335573203013646</v>
      </c>
      <c r="C94" s="3" t="s">
        <v>492</v>
      </c>
    </row>
    <row r="95" spans="1:3" ht="12.75">
      <c r="A95" s="113" t="s">
        <v>257</v>
      </c>
      <c r="B95" s="145">
        <f>(DCmin*3+0.2)*Step8!K16/(Issd*0.001)</f>
        <v>0.8439838042425845</v>
      </c>
      <c r="C95" s="3" t="s">
        <v>492</v>
      </c>
    </row>
    <row r="97" s="117" customFormat="1" ht="12.75"/>
    <row r="99" spans="1:2" ht="12.75">
      <c r="A99" s="299" t="s">
        <v>376</v>
      </c>
      <c r="B99" s="299"/>
    </row>
    <row r="100" spans="1:3" ht="12.75">
      <c r="A100" s="113" t="s">
        <v>377</v>
      </c>
      <c r="B100" s="22">
        <v>1.24</v>
      </c>
      <c r="C100" s="3" t="s">
        <v>30</v>
      </c>
    </row>
    <row r="101" spans="1:3" ht="12.75">
      <c r="A101" s="113" t="s">
        <v>378</v>
      </c>
      <c r="B101" s="17">
        <f>B100*(Step9!J6+Step9!J4*1000)/(Vout1-B100)/1000</f>
        <v>9.960932038834953</v>
      </c>
      <c r="C101" s="3" t="s">
        <v>379</v>
      </c>
    </row>
    <row r="102" spans="1:3" ht="12.75">
      <c r="A102" s="113" t="s">
        <v>380</v>
      </c>
      <c r="B102" s="22">
        <v>250</v>
      </c>
      <c r="C102" s="3" t="s">
        <v>248</v>
      </c>
    </row>
    <row r="103" spans="1:3" ht="12.75">
      <c r="A103" s="159" t="s">
        <v>333</v>
      </c>
      <c r="B103" s="160">
        <f>(MIN(Data2!B71:C81)-B100)/((500+B102)*0.001)</f>
        <v>4.661395999440479</v>
      </c>
      <c r="C103" s="161" t="s">
        <v>382</v>
      </c>
    </row>
    <row r="104" spans="1:3" ht="12.75">
      <c r="A104" s="159" t="s">
        <v>335</v>
      </c>
      <c r="B104" s="162">
        <f>B100/B102*1000</f>
        <v>4.96</v>
      </c>
      <c r="C104" s="161" t="s">
        <v>382</v>
      </c>
    </row>
    <row r="105" spans="1:3" ht="12.75">
      <c r="A105" s="159" t="s">
        <v>334</v>
      </c>
      <c r="B105" s="163">
        <f>(Vout1-B100)/(B102*0.001)</f>
        <v>8.239999999999998</v>
      </c>
      <c r="C105" s="161" t="s">
        <v>382</v>
      </c>
    </row>
    <row r="106" spans="1:3" ht="12.75">
      <c r="A106" s="164" t="s">
        <v>381</v>
      </c>
      <c r="B106" s="162">
        <f>Vout1*B104/(B104+B105)</f>
        <v>1.24</v>
      </c>
      <c r="C106" s="161" t="s">
        <v>30</v>
      </c>
    </row>
    <row r="107" spans="1:3" ht="12.75">
      <c r="A107" s="167" t="s">
        <v>333</v>
      </c>
      <c r="B107" s="170">
        <f>(MIN(Data2!B71:C81)-B100)/(750*0.001)</f>
        <v>4.661395999440479</v>
      </c>
      <c r="C107" s="169" t="s">
        <v>382</v>
      </c>
    </row>
    <row r="108" spans="1:3" ht="12.75">
      <c r="A108" s="167" t="s">
        <v>304</v>
      </c>
      <c r="B108" s="174">
        <f>(Step5!C15*0.000000001/B109+Step8!E8*0.5^2/(B109*B110*1000*f*1000))*1000000</f>
        <v>0.008214285714285716</v>
      </c>
      <c r="C108" s="171" t="s">
        <v>385</v>
      </c>
    </row>
    <row r="109" spans="1:3" ht="12.75">
      <c r="A109" s="168" t="s">
        <v>386</v>
      </c>
      <c r="B109" s="173">
        <f>Step8!E8*0.1</f>
        <v>1.2</v>
      </c>
      <c r="C109" s="166" t="s">
        <v>30</v>
      </c>
    </row>
    <row r="110" spans="1:3" ht="12.75">
      <c r="A110" s="167" t="s">
        <v>387</v>
      </c>
      <c r="B110" s="171">
        <v>10</v>
      </c>
      <c r="C110" s="169" t="s">
        <v>382</v>
      </c>
    </row>
    <row r="111" spans="1:3" ht="12.75">
      <c r="A111" s="165"/>
      <c r="B111" s="165"/>
      <c r="C111" s="165"/>
    </row>
    <row r="112" spans="1:3" ht="12.75">
      <c r="A112" s="165"/>
      <c r="B112" s="172"/>
      <c r="C112" s="165"/>
    </row>
  </sheetData>
  <mergeCells count="8">
    <mergeCell ref="A99:B99"/>
    <mergeCell ref="A83:B83"/>
    <mergeCell ref="A2:B2"/>
    <mergeCell ref="A21:B21"/>
    <mergeCell ref="A78:E78"/>
    <mergeCell ref="B24:E24"/>
    <mergeCell ref="B25:E25"/>
    <mergeCell ref="B26:E26"/>
  </mergeCells>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sheetPr codeName="Sheet16"/>
  <dimension ref="A1:O165"/>
  <sheetViews>
    <sheetView showGridLines="0" workbookViewId="0" topLeftCell="A1">
      <selection activeCell="G19" sqref="G19"/>
    </sheetView>
  </sheetViews>
  <sheetFormatPr defaultColWidth="9.140625" defaultRowHeight="12.75"/>
  <cols>
    <col min="1" max="1" width="10.140625" style="1" bestFit="1" customWidth="1"/>
    <col min="2" max="2" width="9.140625" style="1" customWidth="1"/>
    <col min="3" max="3" width="4.00390625" style="1" bestFit="1" customWidth="1"/>
    <col min="4" max="4" width="3.28125" style="1" customWidth="1"/>
    <col min="5" max="8" width="9.140625" style="1" customWidth="1"/>
    <col min="9" max="9" width="3.421875" style="1" customWidth="1"/>
    <col min="10" max="10" width="9.57421875" style="1" bestFit="1" customWidth="1"/>
    <col min="11" max="12" width="9.57421875" style="1" customWidth="1"/>
    <col min="13" max="13" width="9.140625" style="1" customWidth="1"/>
    <col min="14" max="14" width="12.421875" style="1" bestFit="1" customWidth="1"/>
    <col min="15" max="15" width="9.421875" style="1" customWidth="1"/>
    <col min="16" max="16384" width="9.140625" style="1" customWidth="1"/>
  </cols>
  <sheetData>
    <row r="1" spans="1:2" ht="12.75">
      <c r="A1" s="299" t="s">
        <v>228</v>
      </c>
      <c r="B1" s="299"/>
    </row>
    <row r="2" ht="12.75"/>
    <row r="3" spans="1:15" ht="12.75">
      <c r="A3" s="3" t="s">
        <v>396</v>
      </c>
      <c r="B3" s="17">
        <f>-20*LOG(Vout1/Iout1,10)</f>
        <v>19.172146296835496</v>
      </c>
      <c r="C3" s="3" t="s">
        <v>286</v>
      </c>
      <c r="E3" s="3" t="s">
        <v>399</v>
      </c>
      <c r="F3" s="3" t="s">
        <v>397</v>
      </c>
      <c r="G3" s="3" t="s">
        <v>413</v>
      </c>
      <c r="H3" s="3" t="s">
        <v>396</v>
      </c>
      <c r="J3" s="3" t="s">
        <v>407</v>
      </c>
      <c r="K3" s="3" t="s">
        <v>410</v>
      </c>
      <c r="L3" s="3" t="s">
        <v>411</v>
      </c>
      <c r="M3" s="3" t="s">
        <v>408</v>
      </c>
      <c r="N3" s="3" t="s">
        <v>409</v>
      </c>
      <c r="O3" s="3" t="s">
        <v>412</v>
      </c>
    </row>
    <row r="4" spans="1:15" ht="12.75">
      <c r="A4" s="3" t="s">
        <v>400</v>
      </c>
      <c r="B4" s="22">
        <v>100</v>
      </c>
      <c r="C4" s="3" t="s">
        <v>265</v>
      </c>
      <c r="E4" s="3">
        <v>0</v>
      </c>
      <c r="F4" s="3">
        <f>10^(LOG($B$4,10)+E4*$B$6/100)</f>
        <v>100</v>
      </c>
      <c r="G4" s="3">
        <f aca="true" t="shared" si="0" ref="G4:G35">20*LOG(L4/O4,10)</f>
        <v>-37.69832099784366</v>
      </c>
      <c r="H4" s="3">
        <f>$B$3</f>
        <v>19.172146296835496</v>
      </c>
      <c r="J4" s="3">
        <f>$B$8*0.001-(2*PI()*F4)^2*$B$7*0.001*$B$10*$B$9*0.000000000001</f>
        <v>0.012999947888488763</v>
      </c>
      <c r="K4" s="3">
        <f>2*PI()*F4*($B$7*0.001*$B$8*0.001*$B$10*0.000001+$B$9*0.000001)</f>
        <v>0.0009431965924760794</v>
      </c>
      <c r="L4" s="3">
        <f>SQRT(J4^2+K4^2)</f>
        <v>0.013034119261211397</v>
      </c>
      <c r="M4" s="3">
        <f>1-(2*PI()*F4)^2*$B$10*$B$9*0.000000000001</f>
        <v>0.9999947888488763</v>
      </c>
      <c r="N4" s="3">
        <f>2*PI()*F4*($B$8*0.001*$B$10*0.000001+$B$10*0.000001*$B$7*0.001)</f>
        <v>0.00012717167061731483</v>
      </c>
      <c r="O4" s="3">
        <f>(SQRT(M4^2+N4^2))</f>
        <v>0.9999947969352353</v>
      </c>
    </row>
    <row r="5" spans="1:15" ht="12.75">
      <c r="A5" s="3" t="s">
        <v>401</v>
      </c>
      <c r="B5" s="22">
        <v>1000000</v>
      </c>
      <c r="C5" s="3" t="s">
        <v>265</v>
      </c>
      <c r="E5" s="3">
        <v>1</v>
      </c>
      <c r="F5" s="3">
        <f aca="true" t="shared" si="1" ref="F5:F68">10^(LOG($B$4,10)+E5*$B$6/100)</f>
        <v>109.6478196143186</v>
      </c>
      <c r="G5" s="3">
        <f t="shared" si="0"/>
        <v>-37.693721426226595</v>
      </c>
      <c r="H5" s="3">
        <f aca="true" t="shared" si="2" ref="H5:H68">$B$3</f>
        <v>19.172146296835496</v>
      </c>
      <c r="J5" s="3">
        <f aca="true" t="shared" si="3" ref="J5:J29">$B$8*0.001-(2*PI()*F5)^2*$B$7*0.001*$B$10*$B$9*0.000000000001</f>
        <v>0.012999937348183405</v>
      </c>
      <c r="K5" s="3">
        <f aca="true" t="shared" si="4" ref="K5:K29">2*PI()*F5*($B$7*0.001*$B$8*0.001*$B$10*0.000001+$B$9*0.000001)</f>
        <v>0.0010341944983265712</v>
      </c>
      <c r="L5" s="3">
        <f aca="true" t="shared" si="5" ref="L5:L29">SQRT(J5^2+K5^2)</f>
        <v>0.013041009520626182</v>
      </c>
      <c r="M5" s="3">
        <f aca="true" t="shared" si="6" ref="M5:M29">1-(2*PI()*F5)^2*$B$10*$B$9*0.000000000001</f>
        <v>0.9999937348183404</v>
      </c>
      <c r="N5" s="3">
        <f aca="true" t="shared" si="7" ref="N5:N68">2*PI()*F5*($B$8*0.001*$B$10*0.000001+$B$10*0.000001*$B$7*0.001)</f>
        <v>0.0001394409639989888</v>
      </c>
      <c r="O5" s="3">
        <f aca="true" t="shared" si="8" ref="O5:O29">(SQRT(M5^2+N5^2))</f>
        <v>0.9999937445402926</v>
      </c>
    </row>
    <row r="6" spans="1:15" ht="12.75">
      <c r="A6" s="3" t="s">
        <v>398</v>
      </c>
      <c r="B6" s="22">
        <f>LOG(B5,10)-LOG(B4,10)</f>
        <v>3.999999999999999</v>
      </c>
      <c r="C6" s="3"/>
      <c r="E6" s="3">
        <v>2</v>
      </c>
      <c r="F6" s="3">
        <f t="shared" si="1"/>
        <v>120.22644346174135</v>
      </c>
      <c r="G6" s="3">
        <f t="shared" si="0"/>
        <v>-37.68819794049812</v>
      </c>
      <c r="H6" s="3">
        <f t="shared" si="2"/>
        <v>19.172146296835496</v>
      </c>
      <c r="J6" s="3">
        <f t="shared" si="3"/>
        <v>0.012999924675949145</v>
      </c>
      <c r="K6" s="3">
        <f t="shared" si="4"/>
        <v>0.0011339717179863246</v>
      </c>
      <c r="L6" s="3">
        <f t="shared" si="5"/>
        <v>0.01304928861806437</v>
      </c>
      <c r="M6" s="3">
        <f t="shared" si="6"/>
        <v>0.9999924675949143</v>
      </c>
      <c r="N6" s="3">
        <f t="shared" si="7"/>
        <v>0.00015289397667407796</v>
      </c>
      <c r="O6" s="3">
        <f t="shared" si="8"/>
        <v>0.9999924792832864</v>
      </c>
    </row>
    <row r="7" spans="1:15" ht="12.75">
      <c r="A7" s="3" t="s">
        <v>402</v>
      </c>
      <c r="B7" s="22">
        <f>Step3!D8</f>
        <v>10</v>
      </c>
      <c r="C7" s="27" t="s">
        <v>14</v>
      </c>
      <c r="E7" s="3">
        <v>3</v>
      </c>
      <c r="F7" s="3">
        <f t="shared" si="1"/>
        <v>131.82567385564084</v>
      </c>
      <c r="G7" s="3">
        <f t="shared" si="0"/>
        <v>-37.6815664997012</v>
      </c>
      <c r="H7" s="3">
        <f t="shared" si="2"/>
        <v>19.172146296835496</v>
      </c>
      <c r="J7" s="3">
        <f t="shared" si="3"/>
        <v>0.012999909440572584</v>
      </c>
      <c r="K7" s="3">
        <f t="shared" si="4"/>
        <v>0.0012433752638150342</v>
      </c>
      <c r="L7" s="3">
        <f t="shared" si="5"/>
        <v>0.013059235334036802</v>
      </c>
      <c r="M7" s="3">
        <f t="shared" si="6"/>
        <v>0.9999909440572584</v>
      </c>
      <c r="N7" s="3">
        <f t="shared" si="7"/>
        <v>0.00016764491174475128</v>
      </c>
      <c r="O7" s="3">
        <f t="shared" si="8"/>
        <v>0.9999909581097938</v>
      </c>
    </row>
    <row r="8" spans="1:15" ht="12.75">
      <c r="A8" s="3" t="s">
        <v>403</v>
      </c>
      <c r="B8" s="22">
        <f>Step3!D10</f>
        <v>13</v>
      </c>
      <c r="C8" s="27" t="s">
        <v>14</v>
      </c>
      <c r="E8" s="3">
        <v>4</v>
      </c>
      <c r="F8" s="3">
        <f t="shared" si="1"/>
        <v>144.54397707459285</v>
      </c>
      <c r="G8" s="3">
        <f t="shared" si="0"/>
        <v>-37.673607082954305</v>
      </c>
      <c r="H8" s="3">
        <f t="shared" si="2"/>
        <v>19.172146296835496</v>
      </c>
      <c r="J8" s="3">
        <f t="shared" si="3"/>
        <v>0.0129998911236212</v>
      </c>
      <c r="K8" s="3">
        <f t="shared" si="4"/>
        <v>0.001363333866396965</v>
      </c>
      <c r="L8" s="3">
        <f t="shared" si="5"/>
        <v>0.01307118389654396</v>
      </c>
      <c r="M8" s="3">
        <f t="shared" si="6"/>
        <v>0.9999891123621198</v>
      </c>
      <c r="N8" s="3">
        <f t="shared" si="7"/>
        <v>0.00018381899042246828</v>
      </c>
      <c r="O8" s="3">
        <f t="shared" si="8"/>
        <v>0.9999891292570142</v>
      </c>
    </row>
    <row r="9" spans="1:15" ht="12.75">
      <c r="A9" s="3" t="s">
        <v>404</v>
      </c>
      <c r="B9" s="22">
        <f>Step3!D9</f>
        <v>1.5</v>
      </c>
      <c r="C9" s="21" t="s">
        <v>406</v>
      </c>
      <c r="E9" s="3">
        <v>5</v>
      </c>
      <c r="F9" s="3">
        <f t="shared" si="1"/>
        <v>158.48931924611153</v>
      </c>
      <c r="G9" s="3">
        <f t="shared" si="0"/>
        <v>-37.66405695394934</v>
      </c>
      <c r="H9" s="3">
        <f t="shared" si="2"/>
        <v>19.172146296835496</v>
      </c>
      <c r="J9" s="3">
        <f t="shared" si="3"/>
        <v>0.012999869101801998</v>
      </c>
      <c r="K9" s="3">
        <f t="shared" si="4"/>
        <v>0.001494865858567859</v>
      </c>
      <c r="L9" s="3">
        <f t="shared" si="5"/>
        <v>0.013085534784604645</v>
      </c>
      <c r="M9" s="3">
        <f t="shared" si="6"/>
        <v>0.9999869101801997</v>
      </c>
      <c r="N9" s="3">
        <f t="shared" si="7"/>
        <v>0.00020155351503528952</v>
      </c>
      <c r="O9" s="3">
        <f t="shared" si="8"/>
        <v>0.9999869304923751</v>
      </c>
    </row>
    <row r="10" spans="1:15" ht="12.75">
      <c r="A10" s="3" t="s">
        <v>405</v>
      </c>
      <c r="B10" s="22">
        <f>Step3!D7</f>
        <v>8.8</v>
      </c>
      <c r="C10" s="21" t="s">
        <v>12</v>
      </c>
      <c r="E10" s="3">
        <v>6</v>
      </c>
      <c r="F10" s="3">
        <f t="shared" si="1"/>
        <v>173.78008287493753</v>
      </c>
      <c r="G10" s="3">
        <f t="shared" si="0"/>
        <v>-37.65260279539566</v>
      </c>
      <c r="H10" s="3">
        <f t="shared" si="2"/>
        <v>19.172146296835496</v>
      </c>
      <c r="J10" s="3">
        <f t="shared" si="3"/>
        <v>0.012999842625751986</v>
      </c>
      <c r="K10" s="3">
        <f t="shared" si="4"/>
        <v>0.0016390878200785175</v>
      </c>
      <c r="L10" s="3">
        <f t="shared" si="5"/>
        <v>0.013102767538815915</v>
      </c>
      <c r="M10" s="3">
        <f t="shared" si="6"/>
        <v>0.9999842625751985</v>
      </c>
      <c r="N10" s="3">
        <f t="shared" si="7"/>
        <v>0.0002209990345922123</v>
      </c>
      <c r="O10" s="3">
        <f t="shared" si="8"/>
        <v>0.9999842869958692</v>
      </c>
    </row>
    <row r="11" spans="1:15" ht="12.75">
      <c r="A11" s="3" t="s">
        <v>414</v>
      </c>
      <c r="B11" s="22">
        <f>Step1!B16/100</f>
        <v>0.9</v>
      </c>
      <c r="C11" s="3"/>
      <c r="E11" s="3">
        <v>7</v>
      </c>
      <c r="F11" s="3">
        <f t="shared" si="1"/>
        <v>190.5460717963248</v>
      </c>
      <c r="G11" s="3">
        <f t="shared" si="0"/>
        <v>-37.63887158180958</v>
      </c>
      <c r="H11" s="3">
        <f t="shared" si="2"/>
        <v>19.172146296835496</v>
      </c>
      <c r="J11" s="3">
        <f t="shared" si="3"/>
        <v>0.012999810794538687</v>
      </c>
      <c r="K11" s="3">
        <f t="shared" si="4"/>
        <v>0.0017972240562799593</v>
      </c>
      <c r="L11" s="3">
        <f t="shared" si="5"/>
        <v>0.013123455909259419</v>
      </c>
      <c r="M11" s="3">
        <f t="shared" si="6"/>
        <v>0.9999810794538687</v>
      </c>
      <c r="N11" s="3">
        <f t="shared" si="7"/>
        <v>0.0002423206227990544</v>
      </c>
      <c r="O11" s="3">
        <f t="shared" si="8"/>
        <v>0.9999811088140659</v>
      </c>
    </row>
    <row r="12" spans="5:15" ht="12.75">
      <c r="E12" s="3">
        <v>8</v>
      </c>
      <c r="F12" s="3">
        <f t="shared" si="1"/>
        <v>208.92961308540396</v>
      </c>
      <c r="G12" s="3">
        <f t="shared" si="0"/>
        <v>-37.622420071050634</v>
      </c>
      <c r="H12" s="3">
        <f t="shared" si="2"/>
        <v>19.172146296835496</v>
      </c>
      <c r="J12" s="3">
        <f t="shared" si="3"/>
        <v>0.012999772525003029</v>
      </c>
      <c r="K12" s="3">
        <f t="shared" si="4"/>
        <v>0.0019706169912949868</v>
      </c>
      <c r="L12" s="3">
        <f t="shared" si="5"/>
        <v>0.013148285706821408</v>
      </c>
      <c r="M12" s="3">
        <f t="shared" si="6"/>
        <v>0.9999772525003028</v>
      </c>
      <c r="N12" s="3">
        <f t="shared" si="7"/>
        <v>0.00026569927937500023</v>
      </c>
      <c r="O12" s="3">
        <f t="shared" si="8"/>
        <v>0.9999772877991586</v>
      </c>
    </row>
    <row r="13" spans="3:15" ht="12.75">
      <c r="C13"/>
      <c r="E13" s="3">
        <v>9</v>
      </c>
      <c r="F13" s="3">
        <f t="shared" si="1"/>
        <v>229.08676527677744</v>
      </c>
      <c r="G13" s="3">
        <f t="shared" si="0"/>
        <v>-37.602722823501786</v>
      </c>
      <c r="H13" s="3">
        <f t="shared" si="2"/>
        <v>19.172146296835496</v>
      </c>
      <c r="J13" s="3">
        <f t="shared" si="3"/>
        <v>0.012999726514901376</v>
      </c>
      <c r="K13" s="3">
        <f t="shared" si="4"/>
        <v>0.002160738563904239</v>
      </c>
      <c r="L13" s="3">
        <f t="shared" si="5"/>
        <v>0.013178075754971695</v>
      </c>
      <c r="M13" s="3">
        <f t="shared" si="6"/>
        <v>0.9999726514901376</v>
      </c>
      <c r="N13" s="3">
        <f t="shared" si="7"/>
        <v>0.0002913334665656446</v>
      </c>
      <c r="O13" s="3">
        <f t="shared" si="8"/>
        <v>0.9999726939288918</v>
      </c>
    </row>
    <row r="14" spans="3:15" ht="12.75">
      <c r="C14"/>
      <c r="E14" s="3">
        <v>10</v>
      </c>
      <c r="F14" s="3">
        <f t="shared" si="1"/>
        <v>251.18864315095806</v>
      </c>
      <c r="G14" s="3">
        <f t="shared" si="0"/>
        <v>-37.579158710307524</v>
      </c>
      <c r="H14" s="3">
        <f t="shared" si="2"/>
        <v>19.172146296835496</v>
      </c>
      <c r="J14" s="3">
        <f t="shared" si="3"/>
        <v>0.012999671198592527</v>
      </c>
      <c r="K14" s="3">
        <f t="shared" si="4"/>
        <v>0.002369202722886735</v>
      </c>
      <c r="L14" s="3">
        <f t="shared" si="5"/>
        <v>0.013213802360170595</v>
      </c>
      <c r="M14" s="3">
        <f t="shared" si="6"/>
        <v>0.9999671198592526</v>
      </c>
      <c r="N14" s="3">
        <f t="shared" si="7"/>
        <v>0.00031944079389603874</v>
      </c>
      <c r="O14" s="3">
        <f t="shared" si="8"/>
        <v>0.9999671708821394</v>
      </c>
    </row>
    <row r="15" spans="3:15" ht="12.75">
      <c r="C15"/>
      <c r="E15" s="3">
        <v>11</v>
      </c>
      <c r="F15" s="3">
        <f t="shared" si="1"/>
        <v>275.42287033381683</v>
      </c>
      <c r="G15" s="3">
        <f t="shared" si="0"/>
        <v>-37.550995958252</v>
      </c>
      <c r="H15" s="3">
        <f t="shared" si="2"/>
        <v>19.172146296835496</v>
      </c>
      <c r="J15" s="3">
        <f t="shared" si="3"/>
        <v>0.012999604693761742</v>
      </c>
      <c r="K15" s="3">
        <f t="shared" si="4"/>
        <v>0.002597779127888371</v>
      </c>
      <c r="L15" s="3">
        <f t="shared" si="5"/>
        <v>0.013256627723194341</v>
      </c>
      <c r="M15" s="3">
        <f t="shared" si="6"/>
        <v>0.9999604693761741</v>
      </c>
      <c r="N15" s="3">
        <f t="shared" si="7"/>
        <v>0.0003502598654656757</v>
      </c>
      <c r="O15" s="3">
        <f t="shared" si="8"/>
        <v>0.9999605307195838</v>
      </c>
    </row>
    <row r="16" spans="3:15" ht="12.75">
      <c r="C16"/>
      <c r="E16" s="3">
        <v>12</v>
      </c>
      <c r="F16" s="3">
        <f t="shared" si="1"/>
        <v>301.9951720402017</v>
      </c>
      <c r="G16" s="3">
        <f t="shared" si="0"/>
        <v>-37.5173759103726</v>
      </c>
      <c r="H16" s="3">
        <f t="shared" si="2"/>
        <v>19.172146296835496</v>
      </c>
      <c r="J16" s="3">
        <f t="shared" si="3"/>
        <v>0.012999524737368961</v>
      </c>
      <c r="K16" s="3">
        <f t="shared" si="4"/>
        <v>0.0028484081721254556</v>
      </c>
      <c r="L16" s="3">
        <f t="shared" si="5"/>
        <v>0.013307932691162013</v>
      </c>
      <c r="M16" s="3">
        <f t="shared" si="6"/>
        <v>0.999952473736896</v>
      </c>
      <c r="N16" s="3">
        <f t="shared" si="7"/>
        <v>0.00038405230546715853</v>
      </c>
      <c r="O16" s="3">
        <f t="shared" si="8"/>
        <v>0.999952547488485</v>
      </c>
    </row>
    <row r="17" spans="3:15" ht="12.75">
      <c r="C17"/>
      <c r="E17" s="3">
        <v>13</v>
      </c>
      <c r="F17" s="3">
        <f t="shared" si="1"/>
        <v>331.13112148259137</v>
      </c>
      <c r="G17" s="3">
        <f t="shared" si="0"/>
        <v>-37.4772958714522</v>
      </c>
      <c r="H17" s="3">
        <f t="shared" si="2"/>
        <v>19.172146296835496</v>
      </c>
      <c r="J17" s="3">
        <f t="shared" si="3"/>
        <v>0.0129994286086416</v>
      </c>
      <c r="K17" s="3">
        <f t="shared" si="4"/>
        <v>0.003123217454451629</v>
      </c>
      <c r="L17" s="3">
        <f t="shared" si="5"/>
        <v>0.013369354188552302</v>
      </c>
      <c r="M17" s="3">
        <f t="shared" si="6"/>
        <v>0.9999428608641597</v>
      </c>
      <c r="N17" s="3">
        <f t="shared" si="7"/>
        <v>0.00042110497912326174</v>
      </c>
      <c r="O17" s="3">
        <f t="shared" si="8"/>
        <v>0.999942949533924</v>
      </c>
    </row>
    <row r="18" spans="3:15" ht="12.75">
      <c r="C18"/>
      <c r="E18" s="3">
        <v>14</v>
      </c>
      <c r="F18" s="3">
        <f t="shared" si="1"/>
        <v>363.0780547701012</v>
      </c>
      <c r="G18" s="3">
        <f t="shared" si="0"/>
        <v>-37.42959166928925</v>
      </c>
      <c r="H18" s="3">
        <f t="shared" si="2"/>
        <v>19.172146296835496</v>
      </c>
      <c r="J18" s="3">
        <f t="shared" si="3"/>
        <v>0.012999313036491546</v>
      </c>
      <c r="K18" s="3">
        <f t="shared" si="4"/>
        <v>0.003424539840620027</v>
      </c>
      <c r="L18" s="3">
        <f t="shared" si="5"/>
        <v>0.013442827550061516</v>
      </c>
      <c r="M18" s="3">
        <f t="shared" si="6"/>
        <v>0.9999313036491545</v>
      </c>
      <c r="N18" s="3">
        <f t="shared" si="7"/>
        <v>0.000461732427895987</v>
      </c>
      <c r="O18" s="3">
        <f t="shared" si="8"/>
        <v>0.9999314102548897</v>
      </c>
    </row>
    <row r="19" spans="3:15" ht="12.75">
      <c r="C19"/>
      <c r="E19" s="3">
        <v>15</v>
      </c>
      <c r="F19" s="3">
        <f t="shared" si="1"/>
        <v>398.10717055349727</v>
      </c>
      <c r="G19" s="3">
        <f t="shared" si="0"/>
        <v>-37.37292090627309</v>
      </c>
      <c r="H19" s="3">
        <f t="shared" si="2"/>
        <v>19.172146296835496</v>
      </c>
      <c r="J19" s="3">
        <f t="shared" si="3"/>
        <v>0.012999174088205905</v>
      </c>
      <c r="K19" s="3">
        <f t="shared" si="4"/>
        <v>0.0037549332670635195</v>
      </c>
      <c r="L19" s="3">
        <f t="shared" si="5"/>
        <v>0.013530633792087646</v>
      </c>
      <c r="M19" s="3">
        <f t="shared" si="6"/>
        <v>0.9999174088205904</v>
      </c>
      <c r="N19" s="3">
        <f t="shared" si="7"/>
        <v>0.0005062795396402052</v>
      </c>
      <c r="O19" s="3">
        <f t="shared" si="8"/>
        <v>0.9999175369906541</v>
      </c>
    </row>
    <row r="20" spans="3:15" ht="12.75">
      <c r="C20"/>
      <c r="E20" s="3">
        <v>16</v>
      </c>
      <c r="F20" s="3">
        <f t="shared" si="1"/>
        <v>436.5158322401658</v>
      </c>
      <c r="G20" s="3">
        <f t="shared" si="0"/>
        <v>-37.30574830336318</v>
      </c>
      <c r="H20" s="3">
        <f t="shared" si="2"/>
        <v>19.172146296835496</v>
      </c>
      <c r="J20" s="3">
        <f t="shared" si="3"/>
        <v>0.012999007035623828</v>
      </c>
      <c r="K20" s="3">
        <f t="shared" si="4"/>
        <v>0.004117202455307843</v>
      </c>
      <c r="L20" s="3">
        <f t="shared" si="5"/>
        <v>0.013635451586588201</v>
      </c>
      <c r="M20" s="3">
        <f t="shared" si="6"/>
        <v>0.9999007035623828</v>
      </c>
      <c r="N20" s="3">
        <f t="shared" si="7"/>
        <v>0.0005551244763688942</v>
      </c>
      <c r="O20" s="3">
        <f t="shared" si="8"/>
        <v>0.9999008576592644</v>
      </c>
    </row>
    <row r="21" spans="3:15" ht="12.75">
      <c r="C21"/>
      <c r="E21" s="3">
        <v>17</v>
      </c>
      <c r="F21" s="3">
        <f t="shared" si="1"/>
        <v>478.6300923226384</v>
      </c>
      <c r="G21" s="3">
        <f t="shared" si="0"/>
        <v>-37.226335036380206</v>
      </c>
      <c r="H21" s="3">
        <f t="shared" si="2"/>
        <v>19.172146296835496</v>
      </c>
      <c r="J21" s="3">
        <f t="shared" si="3"/>
        <v>0.012998806194245687</v>
      </c>
      <c r="K21" s="3">
        <f t="shared" si="4"/>
        <v>0.004514422721352238</v>
      </c>
      <c r="L21" s="3">
        <f t="shared" si="5"/>
        <v>0.013760413328916447</v>
      </c>
      <c r="M21" s="3">
        <f t="shared" si="6"/>
        <v>0.9998806194245686</v>
      </c>
      <c r="N21" s="3">
        <f t="shared" si="7"/>
        <v>0.0006086818844838957</v>
      </c>
      <c r="O21" s="3">
        <f t="shared" si="8"/>
        <v>0.9998808046934873</v>
      </c>
    </row>
    <row r="22" spans="3:15" ht="12.75">
      <c r="C22"/>
      <c r="E22" s="3">
        <v>18</v>
      </c>
      <c r="F22" s="3">
        <f t="shared" si="1"/>
        <v>524.8074602497725</v>
      </c>
      <c r="G22" s="3">
        <f t="shared" si="0"/>
        <v>-37.13273449287813</v>
      </c>
      <c r="H22" s="3">
        <f t="shared" si="2"/>
        <v>19.172146296835496</v>
      </c>
      <c r="J22" s="3">
        <f t="shared" si="3"/>
        <v>0.012998564729799747</v>
      </c>
      <c r="K22" s="3">
        <f t="shared" si="4"/>
        <v>0.004949966082136108</v>
      </c>
      <c r="L22" s="3">
        <f t="shared" si="5"/>
        <v>0.013909164218208507</v>
      </c>
      <c r="M22" s="3">
        <f t="shared" si="6"/>
        <v>0.9998564729799747</v>
      </c>
      <c r="N22" s="3">
        <f t="shared" si="7"/>
        <v>0.0006674064147239361</v>
      </c>
      <c r="O22" s="3">
        <f t="shared" si="8"/>
        <v>0.9998566957275814</v>
      </c>
    </row>
    <row r="23" spans="3:15" ht="12.75">
      <c r="C23"/>
      <c r="E23" s="3">
        <v>19</v>
      </c>
      <c r="F23" s="3">
        <f t="shared" si="1"/>
        <v>575.4399373371571</v>
      </c>
      <c r="G23" s="3">
        <f t="shared" si="0"/>
        <v>-37.02279735968105</v>
      </c>
      <c r="H23" s="3">
        <f t="shared" si="2"/>
        <v>19.172146296835496</v>
      </c>
      <c r="J23" s="3">
        <f t="shared" si="3"/>
        <v>0.01299827442568417</v>
      </c>
      <c r="K23" s="3">
        <f t="shared" si="4"/>
        <v>0.005427529880710552</v>
      </c>
      <c r="L23" s="3">
        <f t="shared" si="5"/>
        <v>0.014085922712105198</v>
      </c>
      <c r="M23" s="3">
        <f t="shared" si="6"/>
        <v>0.9998274425684169</v>
      </c>
      <c r="N23" s="3">
        <f t="shared" si="7"/>
        <v>0.0007317965817108923</v>
      </c>
      <c r="O23" s="3">
        <f t="shared" si="8"/>
        <v>0.999827710377712</v>
      </c>
    </row>
    <row r="24" spans="3:15" ht="12.75">
      <c r="C24"/>
      <c r="E24" s="3">
        <v>20</v>
      </c>
      <c r="F24" s="3">
        <f t="shared" si="1"/>
        <v>630.9573444801932</v>
      </c>
      <c r="G24" s="3">
        <f t="shared" si="0"/>
        <v>-36.89418926271731</v>
      </c>
      <c r="H24" s="3">
        <f t="shared" si="2"/>
        <v>19.172146296835496</v>
      </c>
      <c r="J24" s="3">
        <f t="shared" si="3"/>
        <v>0.012997925403370789</v>
      </c>
      <c r="K24" s="3">
        <f t="shared" si="4"/>
        <v>0.00595116817311474</v>
      </c>
      <c r="L24" s="3">
        <f t="shared" si="5"/>
        <v>0.0142955401232792</v>
      </c>
      <c r="M24" s="3">
        <f t="shared" si="6"/>
        <v>0.9997925403370788</v>
      </c>
      <c r="N24" s="3">
        <f t="shared" si="7"/>
        <v>0.0008023989958581078</v>
      </c>
      <c r="O24" s="3">
        <f t="shared" si="8"/>
        <v>0.9997928623259009</v>
      </c>
    </row>
    <row r="25" spans="5:15" ht="12.75">
      <c r="E25" s="3">
        <v>21</v>
      </c>
      <c r="F25" s="3">
        <f t="shared" si="1"/>
        <v>691.8309709189367</v>
      </c>
      <c r="G25" s="3">
        <f t="shared" si="0"/>
        <v>-36.74442415117226</v>
      </c>
      <c r="H25" s="3">
        <f t="shared" si="2"/>
        <v>19.172146296835496</v>
      </c>
      <c r="J25" s="3">
        <f t="shared" si="3"/>
        <v>0.012997505786256521</v>
      </c>
      <c r="K25" s="3">
        <f t="shared" si="4"/>
        <v>0.006525326143401586</v>
      </c>
      <c r="L25" s="3">
        <f t="shared" si="5"/>
        <v>0.014543556578139062</v>
      </c>
      <c r="M25" s="3">
        <f t="shared" si="6"/>
        <v>0.999750578625652</v>
      </c>
      <c r="N25" s="3">
        <f t="shared" si="7"/>
        <v>0.0008798130035656014</v>
      </c>
      <c r="O25" s="3">
        <f t="shared" si="8"/>
        <v>0.9997509657575967</v>
      </c>
    </row>
    <row r="26" spans="5:15" ht="12.75">
      <c r="E26" s="3">
        <v>22</v>
      </c>
      <c r="F26" s="3">
        <f t="shared" si="1"/>
        <v>758.5775750291838</v>
      </c>
      <c r="G26" s="3">
        <f t="shared" si="0"/>
        <v>-36.57091604633642</v>
      </c>
      <c r="H26" s="3">
        <f t="shared" si="2"/>
        <v>19.172146296835496</v>
      </c>
      <c r="J26" s="3">
        <f t="shared" si="3"/>
        <v>0.01299700129552388</v>
      </c>
      <c r="K26" s="3">
        <f t="shared" si="4"/>
        <v>0.007154877838962935</v>
      </c>
      <c r="L26" s="3">
        <f t="shared" si="5"/>
        <v>0.014836250185485966</v>
      </c>
      <c r="M26" s="3">
        <f t="shared" si="6"/>
        <v>0.9997001295523881</v>
      </c>
      <c r="N26" s="3">
        <f t="shared" si="7"/>
        <v>0.0009646957750929278</v>
      </c>
      <c r="O26" s="3">
        <f t="shared" si="8"/>
        <v>0.9997005950108262</v>
      </c>
    </row>
    <row r="27" spans="5:15" ht="12.75">
      <c r="E27" s="3">
        <v>23</v>
      </c>
      <c r="F27" s="3">
        <f t="shared" si="1"/>
        <v>831.7637711026714</v>
      </c>
      <c r="G27" s="3">
        <f t="shared" si="0"/>
        <v>-36.371050475338585</v>
      </c>
      <c r="H27" s="3">
        <f t="shared" si="2"/>
        <v>19.172146296835496</v>
      </c>
      <c r="J27" s="3">
        <f t="shared" si="3"/>
        <v>0.012996394764258434</v>
      </c>
      <c r="K27" s="3">
        <f t="shared" si="4"/>
        <v>0.007845167546490932</v>
      </c>
      <c r="L27" s="3">
        <f t="shared" si="5"/>
        <v>0.015180676226735046</v>
      </c>
      <c r="M27" s="3">
        <f t="shared" si="6"/>
        <v>0.9996394764258433</v>
      </c>
      <c r="N27" s="3">
        <f t="shared" si="7"/>
        <v>0.001057767883300846</v>
      </c>
      <c r="O27" s="3">
        <f t="shared" si="8"/>
        <v>0.9996400360638968</v>
      </c>
    </row>
    <row r="28" spans="5:15" ht="12.75">
      <c r="E28" s="3">
        <v>24</v>
      </c>
      <c r="F28" s="3">
        <f t="shared" si="1"/>
        <v>912.0108393559099</v>
      </c>
      <c r="G28" s="3">
        <f t="shared" si="0"/>
        <v>-36.142274784239625</v>
      </c>
      <c r="H28" s="3">
        <f t="shared" si="2"/>
        <v>19.172146296835496</v>
      </c>
      <c r="J28" s="3">
        <f t="shared" si="3"/>
        <v>0.012995665553289504</v>
      </c>
      <c r="K28" s="3">
        <f t="shared" si="4"/>
        <v>0.008602055159817431</v>
      </c>
      <c r="L28" s="3">
        <f t="shared" si="5"/>
        <v>0.015584693649395137</v>
      </c>
      <c r="M28" s="3">
        <f t="shared" si="6"/>
        <v>0.9995665553289503</v>
      </c>
      <c r="N28" s="3">
        <f t="shared" si="7"/>
        <v>0.001159819420619906</v>
      </c>
      <c r="O28" s="3">
        <f t="shared" si="8"/>
        <v>0.9995672282109253</v>
      </c>
    </row>
    <row r="29" spans="5:15" ht="12.75">
      <c r="E29" s="3">
        <v>25</v>
      </c>
      <c r="F29" s="3">
        <f t="shared" si="1"/>
        <v>999.9999999999998</v>
      </c>
      <c r="G29" s="3">
        <f t="shared" si="0"/>
        <v>-35.88220366141663</v>
      </c>
      <c r="H29" s="3">
        <f t="shared" si="2"/>
        <v>19.172146296835496</v>
      </c>
      <c r="J29" s="3">
        <f t="shared" si="3"/>
        <v>0.012994788848876226</v>
      </c>
      <c r="K29" s="3">
        <f t="shared" si="4"/>
        <v>0.009431965924760791</v>
      </c>
      <c r="L29" s="3">
        <f t="shared" si="5"/>
        <v>0.016056977250800557</v>
      </c>
      <c r="M29" s="3">
        <f t="shared" si="6"/>
        <v>0.9994788848876225</v>
      </c>
      <c r="N29" s="3">
        <f t="shared" si="7"/>
        <v>0.0012717167061731482</v>
      </c>
      <c r="O29" s="3">
        <f t="shared" si="8"/>
        <v>0.9994796939405953</v>
      </c>
    </row>
    <row r="30" spans="5:15" ht="12.75">
      <c r="E30" s="3">
        <v>26</v>
      </c>
      <c r="F30" s="3">
        <f t="shared" si="1"/>
        <v>1096.4781961431863</v>
      </c>
      <c r="G30" s="3">
        <f t="shared" si="0"/>
        <v>-35.588732955360825</v>
      </c>
      <c r="H30" s="3">
        <f t="shared" si="2"/>
        <v>19.172146296835496</v>
      </c>
      <c r="J30" s="3">
        <f aca="true" t="shared" si="9" ref="J30:J93">$B$8*0.001-(2*PI()*F30)^2*$B$7*0.001*$B$10*$B$9*0.000000000001</f>
        <v>0.01299373481834047</v>
      </c>
      <c r="K30" s="3">
        <f aca="true" t="shared" si="10" ref="K30:K93">2*PI()*F30*($B$7*0.001*$B$8*0.001*$B$10*0.000001+$B$9*0.000001)</f>
        <v>0.010341944983265716</v>
      </c>
      <c r="L30" s="3">
        <f aca="true" t="shared" si="11" ref="L30:L93">SQRT(J30^2+K30^2)</f>
        <v>0.0166070157031975</v>
      </c>
      <c r="M30" s="3">
        <f aca="true" t="shared" si="12" ref="M30:M93">1-(2*PI()*F30)^2*$B$10*$B$9*0.000000000001</f>
        <v>0.9993734818340468</v>
      </c>
      <c r="N30" s="3">
        <f t="shared" si="7"/>
        <v>0.0013944096399898882</v>
      </c>
      <c r="O30" s="3">
        <f aca="true" t="shared" si="13" ref="O30:O93">(SQRT(M30^2+N30^2))</f>
        <v>0.9993744546321714</v>
      </c>
    </row>
    <row r="31" spans="5:15" ht="12.75">
      <c r="E31" s="3">
        <v>27</v>
      </c>
      <c r="F31" s="3">
        <f t="shared" si="1"/>
        <v>1202.2644346174127</v>
      </c>
      <c r="G31" s="3">
        <f t="shared" si="0"/>
        <v>-35.260151878783034</v>
      </c>
      <c r="H31" s="3">
        <f t="shared" si="2"/>
        <v>19.172146296835496</v>
      </c>
      <c r="J31" s="3">
        <f t="shared" si="9"/>
        <v>0.012992467594914328</v>
      </c>
      <c r="K31" s="3">
        <f t="shared" si="10"/>
        <v>0.011339717179863236</v>
      </c>
      <c r="L31" s="3">
        <f t="shared" si="11"/>
        <v>0.017245097851974756</v>
      </c>
      <c r="M31" s="3">
        <f t="shared" si="12"/>
        <v>0.9992467594914328</v>
      </c>
      <c r="N31" s="3">
        <f t="shared" si="7"/>
        <v>0.0015289397667407785</v>
      </c>
      <c r="O31" s="3">
        <f t="shared" si="13"/>
        <v>0.999247929200226</v>
      </c>
    </row>
    <row r="32" spans="5:15" ht="12.75">
      <c r="E32" s="3">
        <v>28</v>
      </c>
      <c r="F32" s="3">
        <f t="shared" si="1"/>
        <v>1318.2567385564064</v>
      </c>
      <c r="G32" s="3">
        <f t="shared" si="0"/>
        <v>-34.89524177270338</v>
      </c>
      <c r="H32" s="3">
        <f t="shared" si="2"/>
        <v>19.172146296835496</v>
      </c>
      <c r="J32" s="3">
        <f t="shared" si="9"/>
        <v>0.012990944057258367</v>
      </c>
      <c r="K32" s="3">
        <f t="shared" si="10"/>
        <v>0.012433752638150324</v>
      </c>
      <c r="L32" s="3">
        <f t="shared" si="11"/>
        <v>0.01798229218329873</v>
      </c>
      <c r="M32" s="3">
        <f t="shared" si="12"/>
        <v>0.9990944057258365</v>
      </c>
      <c r="N32" s="3">
        <f t="shared" si="7"/>
        <v>0.0016764491174475103</v>
      </c>
      <c r="O32" s="3">
        <f t="shared" si="13"/>
        <v>0.9990958122393997</v>
      </c>
    </row>
    <row r="33" spans="5:15" ht="12.75">
      <c r="E33" s="3">
        <v>29</v>
      </c>
      <c r="F33" s="3">
        <f t="shared" si="1"/>
        <v>1445.4397707459275</v>
      </c>
      <c r="G33" s="3">
        <f t="shared" si="0"/>
        <v>-34.493349527654644</v>
      </c>
      <c r="H33" s="3">
        <f t="shared" si="2"/>
        <v>19.172146296835496</v>
      </c>
      <c r="J33" s="3">
        <f t="shared" si="9"/>
        <v>0.012989112362119802</v>
      </c>
      <c r="K33" s="3">
        <f t="shared" si="10"/>
        <v>0.01363333866396964</v>
      </c>
      <c r="L33" s="3">
        <f t="shared" si="11"/>
        <v>0.0188304265241726</v>
      </c>
      <c r="M33" s="3">
        <f t="shared" si="12"/>
        <v>0.9989112362119801</v>
      </c>
      <c r="N33" s="3">
        <f t="shared" si="7"/>
        <v>0.0018381899042246815</v>
      </c>
      <c r="O33" s="3">
        <f t="shared" si="13"/>
        <v>0.99891292752305</v>
      </c>
    </row>
    <row r="34" spans="5:15" ht="12.75">
      <c r="E34" s="3">
        <v>30</v>
      </c>
      <c r="F34" s="3">
        <f t="shared" si="1"/>
        <v>1584.8931924611143</v>
      </c>
      <c r="G34" s="3">
        <f t="shared" si="0"/>
        <v>-34.054425935109094</v>
      </c>
      <c r="H34" s="3">
        <f t="shared" si="2"/>
        <v>19.172146296835496</v>
      </c>
      <c r="J34" s="3">
        <f t="shared" si="9"/>
        <v>0.012986910180199644</v>
      </c>
      <c r="K34" s="3">
        <f t="shared" si="10"/>
        <v>0.014948658585678579</v>
      </c>
      <c r="L34" s="3">
        <f t="shared" si="11"/>
        <v>0.019802076394655057</v>
      </c>
      <c r="M34" s="3">
        <f t="shared" si="12"/>
        <v>0.9986910180199643</v>
      </c>
      <c r="N34" s="3">
        <f t="shared" si="7"/>
        <v>0.002015535150352894</v>
      </c>
      <c r="O34" s="3">
        <f t="shared" si="13"/>
        <v>0.9986930518711417</v>
      </c>
    </row>
    <row r="35" spans="1:15" ht="12.75">
      <c r="A35"/>
      <c r="B35"/>
      <c r="C35"/>
      <c r="D35"/>
      <c r="E35" s="3">
        <v>31</v>
      </c>
      <c r="F35" s="3">
        <f t="shared" si="1"/>
        <v>1737.8008287493758</v>
      </c>
      <c r="G35" s="3">
        <f t="shared" si="0"/>
        <v>-33.5790234803016</v>
      </c>
      <c r="H35" s="3">
        <f t="shared" si="2"/>
        <v>19.172146296835496</v>
      </c>
      <c r="J35" s="3">
        <f t="shared" si="9"/>
        <v>0.01298426257519848</v>
      </c>
      <c r="K35" s="3">
        <f t="shared" si="10"/>
        <v>0.016390878200785178</v>
      </c>
      <c r="L35" s="3">
        <f t="shared" si="11"/>
        <v>0.020910570599930425</v>
      </c>
      <c r="M35" s="3">
        <f t="shared" si="12"/>
        <v>0.998426257519848</v>
      </c>
      <c r="N35" s="3">
        <f t="shared" si="7"/>
        <v>0.0022099903459221236</v>
      </c>
      <c r="O35" s="3">
        <f t="shared" si="13"/>
        <v>0.9984287033946986</v>
      </c>
    </row>
    <row r="36" spans="1:15" ht="12.75">
      <c r="A36"/>
      <c r="B36"/>
      <c r="C36"/>
      <c r="D36"/>
      <c r="E36" s="3">
        <v>32</v>
      </c>
      <c r="F36" s="3">
        <f t="shared" si="1"/>
        <v>1905.4607179632485</v>
      </c>
      <c r="G36" s="3">
        <f aca="true" t="shared" si="14" ref="G36:G67">20*LOG(L36/O36,10)</f>
        <v>-33.06825355640181</v>
      </c>
      <c r="H36" s="3">
        <f t="shared" si="2"/>
        <v>19.172146296835496</v>
      </c>
      <c r="J36" s="3">
        <f t="shared" si="9"/>
        <v>0.012981079453868668</v>
      </c>
      <c r="K36" s="3">
        <f t="shared" si="10"/>
        <v>0.017972240562799596</v>
      </c>
      <c r="L36" s="3">
        <f t="shared" si="11"/>
        <v>0.02217002152986754</v>
      </c>
      <c r="M36" s="3">
        <f t="shared" si="12"/>
        <v>0.9981079453868666</v>
      </c>
      <c r="N36" s="3">
        <f t="shared" si="7"/>
        <v>0.0024232062279905446</v>
      </c>
      <c r="O36" s="3">
        <f t="shared" si="13"/>
        <v>0.9981108869122788</v>
      </c>
    </row>
    <row r="37" spans="1:15" ht="12.75">
      <c r="A37"/>
      <c r="B37"/>
      <c r="C37"/>
      <c r="D37"/>
      <c r="E37" s="3">
        <v>33</v>
      </c>
      <c r="F37" s="3">
        <f t="shared" si="1"/>
        <v>2089.296130854038</v>
      </c>
      <c r="G37" s="3">
        <f t="shared" si="14"/>
        <v>-32.52370853525874</v>
      </c>
      <c r="H37" s="3">
        <f t="shared" si="2"/>
        <v>19.172146296835496</v>
      </c>
      <c r="J37" s="3">
        <f t="shared" si="9"/>
        <v>0.012977252500302761</v>
      </c>
      <c r="K37" s="3">
        <f t="shared" si="10"/>
        <v>0.019706169912949854</v>
      </c>
      <c r="L37" s="3">
        <f t="shared" si="11"/>
        <v>0.023595385461879285</v>
      </c>
      <c r="M37" s="3">
        <f t="shared" si="12"/>
        <v>0.997725250030276</v>
      </c>
      <c r="N37" s="3">
        <f t="shared" si="7"/>
        <v>0.00265699279375</v>
      </c>
      <c r="O37" s="3">
        <f t="shared" si="13"/>
        <v>0.9977287878770877</v>
      </c>
    </row>
    <row r="38" spans="1:15" ht="12.75">
      <c r="A38"/>
      <c r="B38"/>
      <c r="C38"/>
      <c r="D38"/>
      <c r="E38" s="3">
        <v>34</v>
      </c>
      <c r="F38" s="3">
        <f t="shared" si="1"/>
        <v>2290.867652767771</v>
      </c>
      <c r="G38" s="3">
        <f t="shared" si="14"/>
        <v>-31.947358331024247</v>
      </c>
      <c r="H38" s="3">
        <f t="shared" si="2"/>
        <v>19.172146296835496</v>
      </c>
      <c r="J38" s="3">
        <f t="shared" si="9"/>
        <v>0.01297265149013754</v>
      </c>
      <c r="K38" s="3">
        <f t="shared" si="10"/>
        <v>0.021607385639042354</v>
      </c>
      <c r="L38" s="3">
        <f t="shared" si="11"/>
        <v>0.025202555442630444</v>
      </c>
      <c r="M38" s="3">
        <f t="shared" si="12"/>
        <v>0.9972651490137538</v>
      </c>
      <c r="N38" s="3">
        <f t="shared" si="7"/>
        <v>0.002913334665656441</v>
      </c>
      <c r="O38" s="3">
        <f t="shared" si="13"/>
        <v>0.9972694044019895</v>
      </c>
    </row>
    <row r="39" spans="1:15" ht="12.75">
      <c r="A39"/>
      <c r="B39"/>
      <c r="C39"/>
      <c r="D39"/>
      <c r="E39" s="3">
        <v>35</v>
      </c>
      <c r="F39" s="3">
        <f t="shared" si="1"/>
        <v>2511.886431509579</v>
      </c>
      <c r="G39" s="3">
        <f t="shared" si="14"/>
        <v>-31.341433217383162</v>
      </c>
      <c r="H39" s="3">
        <f t="shared" si="2"/>
        <v>19.172146296835496</v>
      </c>
      <c r="J39" s="3">
        <f t="shared" si="9"/>
        <v>0.01296711985925258</v>
      </c>
      <c r="K39" s="3">
        <f t="shared" si="10"/>
        <v>0.023692027228867332</v>
      </c>
      <c r="L39" s="3">
        <f t="shared" si="11"/>
        <v>0.02700848665989292</v>
      </c>
      <c r="M39" s="3">
        <f t="shared" si="12"/>
        <v>0.9967119859252579</v>
      </c>
      <c r="N39" s="3">
        <f t="shared" si="7"/>
        <v>0.003194407938960385</v>
      </c>
      <c r="O39" s="3">
        <f t="shared" si="13"/>
        <v>0.9967171048643401</v>
      </c>
    </row>
    <row r="40" spans="1:15" ht="12.75">
      <c r="A40"/>
      <c r="B40"/>
      <c r="C40"/>
      <c r="D40"/>
      <c r="E40" s="3">
        <v>36</v>
      </c>
      <c r="F40" s="3">
        <f t="shared" si="1"/>
        <v>2754.2287033381663</v>
      </c>
      <c r="G40" s="3">
        <f t="shared" si="14"/>
        <v>-30.708304526472844</v>
      </c>
      <c r="H40" s="3">
        <f t="shared" si="2"/>
        <v>19.172146296835496</v>
      </c>
      <c r="J40" s="3">
        <f t="shared" si="9"/>
        <v>0.012960469376174162</v>
      </c>
      <c r="K40" s="3">
        <f t="shared" si="10"/>
        <v>0.025977791278883687</v>
      </c>
      <c r="L40" s="3">
        <f t="shared" si="11"/>
        <v>0.029031352124556542</v>
      </c>
      <c r="M40" s="3">
        <f t="shared" si="12"/>
        <v>0.996046937617416</v>
      </c>
      <c r="N40" s="3">
        <f t="shared" si="7"/>
        <v>0.0035025986546567537</v>
      </c>
      <c r="O40" s="3">
        <f t="shared" si="13"/>
        <v>0.9960530960417563</v>
      </c>
    </row>
    <row r="41" spans="1:15" ht="12.75">
      <c r="A41"/>
      <c r="B41"/>
      <c r="C41"/>
      <c r="D41"/>
      <c r="E41" s="3">
        <v>37</v>
      </c>
      <c r="F41" s="3">
        <f t="shared" si="1"/>
        <v>3019.9517204020176</v>
      </c>
      <c r="G41" s="3">
        <f t="shared" si="14"/>
        <v>-30.050372885621897</v>
      </c>
      <c r="H41" s="3">
        <f t="shared" si="2"/>
        <v>19.172146296835496</v>
      </c>
      <c r="J41" s="3">
        <f t="shared" si="9"/>
        <v>0.012952473736895955</v>
      </c>
      <c r="K41" s="3">
        <f t="shared" si="10"/>
        <v>0.028484081721254564</v>
      </c>
      <c r="L41" s="3">
        <f t="shared" si="11"/>
        <v>0.03129072526177826</v>
      </c>
      <c r="M41" s="3">
        <f t="shared" si="12"/>
        <v>0.9952473736895953</v>
      </c>
      <c r="N41" s="3">
        <f t="shared" si="7"/>
        <v>0.0038405230546715865</v>
      </c>
      <c r="O41" s="3">
        <f t="shared" si="13"/>
        <v>0.9952547836877602</v>
      </c>
    </row>
    <row r="42" spans="1:15" ht="12.75">
      <c r="A42"/>
      <c r="B42"/>
      <c r="C42"/>
      <c r="D42"/>
      <c r="E42" s="3">
        <v>38</v>
      </c>
      <c r="F42" s="3">
        <f t="shared" si="1"/>
        <v>3311.3112148259115</v>
      </c>
      <c r="G42" s="3">
        <f t="shared" si="14"/>
        <v>-29.36997060581004</v>
      </c>
      <c r="H42" s="3">
        <f t="shared" si="2"/>
        <v>19.172146296835496</v>
      </c>
      <c r="J42" s="3">
        <f t="shared" si="9"/>
        <v>0.012942860864159736</v>
      </c>
      <c r="K42" s="3">
        <f t="shared" si="10"/>
        <v>0.031232174544516263</v>
      </c>
      <c r="L42" s="3">
        <f t="shared" si="11"/>
        <v>0.03380778570282483</v>
      </c>
      <c r="M42" s="3">
        <f t="shared" si="12"/>
        <v>0.9942860864159735</v>
      </c>
      <c r="N42" s="3">
        <f t="shared" si="7"/>
        <v>0.004211049791232615</v>
      </c>
      <c r="O42" s="3">
        <f t="shared" si="13"/>
        <v>0.9942950037995448</v>
      </c>
    </row>
    <row r="43" spans="1:15" ht="12.75">
      <c r="A43"/>
      <c r="B43"/>
      <c r="C43"/>
      <c r="D43"/>
      <c r="E43" s="3">
        <v>39</v>
      </c>
      <c r="F43" s="3">
        <f t="shared" si="1"/>
        <v>3630.7805477010124</v>
      </c>
      <c r="G43" s="3">
        <f t="shared" si="14"/>
        <v>-28.669281538596717</v>
      </c>
      <c r="H43" s="3">
        <f t="shared" si="2"/>
        <v>19.172146296835496</v>
      </c>
      <c r="J43" s="3">
        <f t="shared" si="9"/>
        <v>0.012931303649154477</v>
      </c>
      <c r="K43" s="3">
        <f t="shared" si="10"/>
        <v>0.03424539840620028</v>
      </c>
      <c r="L43" s="3">
        <f t="shared" si="11"/>
        <v>0.036605545018016335</v>
      </c>
      <c r="M43" s="3">
        <f t="shared" si="12"/>
        <v>0.9931303649154476</v>
      </c>
      <c r="N43" s="3">
        <f t="shared" si="7"/>
        <v>0.004617324278959871</v>
      </c>
      <c r="O43" s="3">
        <f t="shared" si="13"/>
        <v>0.9931410984349541</v>
      </c>
    </row>
    <row r="44" spans="1:15" ht="12.75">
      <c r="A44"/>
      <c r="B44"/>
      <c r="C44"/>
      <c r="D44"/>
      <c r="E44" s="3">
        <v>40</v>
      </c>
      <c r="F44" s="3">
        <f t="shared" si="1"/>
        <v>3981.07170553497</v>
      </c>
      <c r="G44" s="3">
        <f t="shared" si="14"/>
        <v>-27.950278796065852</v>
      </c>
      <c r="H44" s="3">
        <f t="shared" si="2"/>
        <v>19.172146296835496</v>
      </c>
      <c r="J44" s="3">
        <f t="shared" si="9"/>
        <v>0.012917408820590427</v>
      </c>
      <c r="K44" s="3">
        <f t="shared" si="10"/>
        <v>0.03754933267063518</v>
      </c>
      <c r="L44" s="3">
        <f t="shared" si="11"/>
        <v>0.03970909007580377</v>
      </c>
      <c r="M44" s="3">
        <f t="shared" si="12"/>
        <v>0.9917408820590426</v>
      </c>
      <c r="N44" s="3">
        <f t="shared" si="7"/>
        <v>0.00506279539640205</v>
      </c>
      <c r="O44" s="3">
        <f t="shared" si="13"/>
        <v>0.9917538046533896</v>
      </c>
    </row>
    <row r="45" spans="1:15" ht="12.75">
      <c r="A45"/>
      <c r="B45"/>
      <c r="C45"/>
      <c r="D45"/>
      <c r="E45" s="3">
        <v>41</v>
      </c>
      <c r="F45" s="3">
        <f t="shared" si="1"/>
        <v>4365.158322401663</v>
      </c>
      <c r="G45" s="3">
        <f t="shared" si="14"/>
        <v>-27.214678525590273</v>
      </c>
      <c r="H45" s="3">
        <f t="shared" si="2"/>
        <v>19.172146296835496</v>
      </c>
      <c r="J45" s="3">
        <f t="shared" si="9"/>
        <v>0.012900703562382765</v>
      </c>
      <c r="K45" s="3">
        <f t="shared" si="10"/>
        <v>0.04117202455307847</v>
      </c>
      <c r="L45" s="3">
        <f t="shared" si="11"/>
        <v>0.043145842884381946</v>
      </c>
      <c r="M45" s="3">
        <f t="shared" si="12"/>
        <v>0.9900703562382763</v>
      </c>
      <c r="N45" s="3">
        <f t="shared" si="7"/>
        <v>0.005551244763688948</v>
      </c>
      <c r="O45" s="3">
        <f t="shared" si="13"/>
        <v>0.9900859188071577</v>
      </c>
    </row>
    <row r="46" spans="1:15" ht="12.75">
      <c r="A46"/>
      <c r="B46"/>
      <c r="C46"/>
      <c r="D46"/>
      <c r="E46" s="3">
        <v>42</v>
      </c>
      <c r="F46" s="3">
        <f t="shared" si="1"/>
        <v>4786.300923226385</v>
      </c>
      <c r="G46" s="3">
        <f t="shared" si="14"/>
        <v>-26.463906524306143</v>
      </c>
      <c r="H46" s="3">
        <f t="shared" si="2"/>
        <v>19.172146296835496</v>
      </c>
      <c r="J46" s="3">
        <f t="shared" si="9"/>
        <v>0.012880619424568591</v>
      </c>
      <c r="K46" s="3">
        <f t="shared" si="10"/>
        <v>0.04514422721352239</v>
      </c>
      <c r="L46" s="3">
        <f t="shared" si="11"/>
        <v>0.04694583695565251</v>
      </c>
      <c r="M46" s="3">
        <f t="shared" si="12"/>
        <v>0.988061942456859</v>
      </c>
      <c r="N46" s="3">
        <f t="shared" si="7"/>
        <v>0.0060868188448389565</v>
      </c>
      <c r="O46" s="3">
        <f t="shared" si="13"/>
        <v>0.9880806907815126</v>
      </c>
    </row>
    <row r="47" spans="1:15" ht="12.75">
      <c r="A47"/>
      <c r="B47"/>
      <c r="C47"/>
      <c r="D47"/>
      <c r="E47" s="3">
        <v>43</v>
      </c>
      <c r="F47" s="3">
        <f t="shared" si="1"/>
        <v>5248.074602497726</v>
      </c>
      <c r="G47" s="3">
        <f t="shared" si="14"/>
        <v>-25.69907375710843</v>
      </c>
      <c r="H47" s="3">
        <f t="shared" si="2"/>
        <v>19.172146296835496</v>
      </c>
      <c r="J47" s="3">
        <f t="shared" si="9"/>
        <v>0.012856472979974656</v>
      </c>
      <c r="K47" s="3">
        <f t="shared" si="10"/>
        <v>0.0494996608213611</v>
      </c>
      <c r="L47" s="3">
        <f t="shared" si="11"/>
        <v>0.051142011291252606</v>
      </c>
      <c r="M47" s="3">
        <f t="shared" si="12"/>
        <v>0.9856472979974654</v>
      </c>
      <c r="N47" s="3">
        <f t="shared" si="7"/>
        <v>0.006674064147239363</v>
      </c>
      <c r="O47" s="3">
        <f t="shared" si="13"/>
        <v>0.9856698936164916</v>
      </c>
    </row>
    <row r="48" spans="1:15" ht="12.75">
      <c r="A48"/>
      <c r="B48"/>
      <c r="C48"/>
      <c r="D48"/>
      <c r="E48" s="3">
        <v>44</v>
      </c>
      <c r="F48" s="3">
        <f t="shared" si="1"/>
        <v>5754.399373371567</v>
      </c>
      <c r="G48" s="3">
        <f t="shared" si="14"/>
        <v>-24.920956603791172</v>
      </c>
      <c r="H48" s="3">
        <f t="shared" si="2"/>
        <v>19.172146296835496</v>
      </c>
      <c r="J48" s="3">
        <f t="shared" si="9"/>
        <v>0.012827442568416907</v>
      </c>
      <c r="K48" s="3">
        <f t="shared" si="10"/>
        <v>0.05427529880710547</v>
      </c>
      <c r="L48" s="3">
        <f t="shared" si="11"/>
        <v>0.05577052396603979</v>
      </c>
      <c r="M48" s="3">
        <f t="shared" si="12"/>
        <v>0.9827442568416906</v>
      </c>
      <c r="N48" s="3">
        <f t="shared" si="7"/>
        <v>0.007317965817108917</v>
      </c>
      <c r="O48" s="3">
        <f t="shared" si="13"/>
        <v>0.9827715029339359</v>
      </c>
    </row>
    <row r="49" spans="1:15" ht="12.75">
      <c r="A49"/>
      <c r="B49"/>
      <c r="C49"/>
      <c r="D49"/>
      <c r="E49" s="3">
        <v>45</v>
      </c>
      <c r="F49" s="3">
        <f t="shared" si="1"/>
        <v>6309.573444801938</v>
      </c>
      <c r="G49" s="3">
        <f t="shared" si="14"/>
        <v>-24.12997768196206</v>
      </c>
      <c r="H49" s="3">
        <f t="shared" si="2"/>
        <v>19.172146296835496</v>
      </c>
      <c r="J49" s="3">
        <f t="shared" si="9"/>
        <v>0.012792540337078719</v>
      </c>
      <c r="K49" s="3">
        <f t="shared" si="10"/>
        <v>0.059511681731147466</v>
      </c>
      <c r="L49" s="3">
        <f t="shared" si="11"/>
        <v>0.06087108797076964</v>
      </c>
      <c r="M49" s="3">
        <f t="shared" si="12"/>
        <v>0.9792540337078718</v>
      </c>
      <c r="N49" s="3">
        <f t="shared" si="7"/>
        <v>0.008023989958581087</v>
      </c>
      <c r="O49" s="3">
        <f t="shared" si="13"/>
        <v>0.979286907370865</v>
      </c>
    </row>
    <row r="50" spans="1:15" ht="12.75">
      <c r="A50"/>
      <c r="B50"/>
      <c r="C50"/>
      <c r="D50"/>
      <c r="E50" s="3">
        <v>46</v>
      </c>
      <c r="F50" s="3">
        <f t="shared" si="1"/>
        <v>6918.309709189369</v>
      </c>
      <c r="G50" s="3">
        <f t="shared" si="14"/>
        <v>-23.3261831679801</v>
      </c>
      <c r="H50" s="3">
        <f t="shared" si="2"/>
        <v>19.172146296835496</v>
      </c>
      <c r="J50" s="3">
        <f t="shared" si="9"/>
        <v>0.012750578625652027</v>
      </c>
      <c r="K50" s="3">
        <f t="shared" si="10"/>
        <v>0.06525326143401587</v>
      </c>
      <c r="L50" s="3">
        <f t="shared" si="11"/>
        <v>0.06648733250074752</v>
      </c>
      <c r="M50" s="3">
        <f t="shared" si="12"/>
        <v>0.9750578625652027</v>
      </c>
      <c r="N50" s="3">
        <f t="shared" si="7"/>
        <v>0.008798130035656016</v>
      </c>
      <c r="O50" s="3">
        <f t="shared" si="13"/>
        <v>0.9750975553463078</v>
      </c>
    </row>
    <row r="51" spans="1:15" ht="12.75">
      <c r="A51"/>
      <c r="B51"/>
      <c r="C51"/>
      <c r="D51"/>
      <c r="E51" s="3">
        <v>47</v>
      </c>
      <c r="F51" s="3">
        <f t="shared" si="1"/>
        <v>7585.775750291839</v>
      </c>
      <c r="G51" s="3">
        <f t="shared" si="14"/>
        <v>-22.50921249334902</v>
      </c>
      <c r="H51" s="3">
        <f t="shared" si="2"/>
        <v>19.172146296835496</v>
      </c>
      <c r="J51" s="3">
        <f t="shared" si="9"/>
        <v>0.012700129552388036</v>
      </c>
      <c r="K51" s="3">
        <f t="shared" si="10"/>
        <v>0.07154877838962936</v>
      </c>
      <c r="L51" s="3">
        <f t="shared" si="11"/>
        <v>0.07266719328346</v>
      </c>
      <c r="M51" s="3">
        <f t="shared" si="12"/>
        <v>0.9700129552388035</v>
      </c>
      <c r="N51" s="3">
        <f t="shared" si="7"/>
        <v>0.009646957750929282</v>
      </c>
      <c r="O51" s="3">
        <f t="shared" si="13"/>
        <v>0.9700609244397823</v>
      </c>
    </row>
    <row r="52" spans="1:15" ht="12.75">
      <c r="A52"/>
      <c r="B52"/>
      <c r="C52"/>
      <c r="D52"/>
      <c r="E52" s="3">
        <v>48</v>
      </c>
      <c r="F52" s="3">
        <f t="shared" si="1"/>
        <v>8317.63771102671</v>
      </c>
      <c r="G52" s="3">
        <f t="shared" si="14"/>
        <v>-21.67825597190393</v>
      </c>
      <c r="H52" s="3">
        <f t="shared" si="2"/>
        <v>19.172146296835496</v>
      </c>
      <c r="J52" s="3">
        <f t="shared" si="9"/>
        <v>0.012639476425843333</v>
      </c>
      <c r="K52" s="3">
        <f t="shared" si="10"/>
        <v>0.07845167546490929</v>
      </c>
      <c r="L52" s="3">
        <f t="shared" si="11"/>
        <v>0.07946333586988971</v>
      </c>
      <c r="M52" s="3">
        <f t="shared" si="12"/>
        <v>0.9639476425843331</v>
      </c>
      <c r="N52" s="3">
        <f t="shared" si="7"/>
        <v>0.010577678833008452</v>
      </c>
      <c r="O52" s="3">
        <f t="shared" si="13"/>
        <v>0.964005676815955</v>
      </c>
    </row>
    <row r="53" spans="1:15" ht="12.75">
      <c r="A53"/>
      <c r="B53"/>
      <c r="C53"/>
      <c r="D53"/>
      <c r="E53" s="3">
        <v>49</v>
      </c>
      <c r="F53" s="3">
        <f t="shared" si="1"/>
        <v>9120.108393559092</v>
      </c>
      <c r="G53" s="3">
        <f t="shared" si="14"/>
        <v>-20.83199514803804</v>
      </c>
      <c r="H53" s="3">
        <f t="shared" si="2"/>
        <v>19.172146296835496</v>
      </c>
      <c r="J53" s="3">
        <f t="shared" si="9"/>
        <v>0.012566555328950286</v>
      </c>
      <c r="K53" s="3">
        <f t="shared" si="10"/>
        <v>0.08602055159817425</v>
      </c>
      <c r="L53" s="3">
        <f t="shared" si="11"/>
        <v>0.08693361611074123</v>
      </c>
      <c r="M53" s="3">
        <f t="shared" si="12"/>
        <v>0.9566555328950284</v>
      </c>
      <c r="N53" s="3">
        <f t="shared" si="7"/>
        <v>0.011598194206199052</v>
      </c>
      <c r="O53" s="3">
        <f t="shared" si="13"/>
        <v>0.9567258367617734</v>
      </c>
    </row>
    <row r="54" spans="1:15" ht="12.75">
      <c r="A54"/>
      <c r="B54"/>
      <c r="C54"/>
      <c r="D54"/>
      <c r="E54" s="3">
        <v>50</v>
      </c>
      <c r="F54" s="3">
        <f t="shared" si="1"/>
        <v>9999.99999999999</v>
      </c>
      <c r="G54" s="3">
        <f t="shared" si="14"/>
        <v>-19.968519231428907</v>
      </c>
      <c r="H54" s="3">
        <f t="shared" si="2"/>
        <v>19.172146296835496</v>
      </c>
      <c r="J54" s="3">
        <f t="shared" si="9"/>
        <v>0.012478884887622483</v>
      </c>
      <c r="K54" s="3">
        <f t="shared" si="10"/>
        <v>0.09431965924760785</v>
      </c>
      <c r="L54" s="3">
        <f t="shared" si="11"/>
        <v>0.09514158233192987</v>
      </c>
      <c r="M54" s="3">
        <f t="shared" si="12"/>
        <v>0.9478884887622483</v>
      </c>
      <c r="N54" s="3">
        <f t="shared" si="7"/>
        <v>0.012717167061731472</v>
      </c>
      <c r="O54" s="3">
        <f t="shared" si="13"/>
        <v>0.9479737936599592</v>
      </c>
    </row>
    <row r="55" spans="1:15" ht="12.75">
      <c r="A55"/>
      <c r="B55"/>
      <c r="C55"/>
      <c r="D55"/>
      <c r="E55" s="3">
        <v>51</v>
      </c>
      <c r="F55" s="3">
        <f t="shared" si="1"/>
        <v>10964.781961431836</v>
      </c>
      <c r="G55" s="3">
        <f t="shared" si="14"/>
        <v>-19.085208567013346</v>
      </c>
      <c r="H55" s="3">
        <f t="shared" si="2"/>
        <v>19.172146296835496</v>
      </c>
      <c r="J55" s="3">
        <f t="shared" si="9"/>
        <v>0.012373481834046856</v>
      </c>
      <c r="K55" s="3">
        <f t="shared" si="10"/>
        <v>0.1034194498326569</v>
      </c>
      <c r="L55" s="3">
        <f t="shared" si="11"/>
        <v>0.10415702403768516</v>
      </c>
      <c r="M55" s="3">
        <f t="shared" si="12"/>
        <v>0.9373481834046855</v>
      </c>
      <c r="N55" s="3">
        <f t="shared" si="7"/>
        <v>0.013944096399898848</v>
      </c>
      <c r="O55" s="3">
        <f t="shared" si="13"/>
        <v>0.9374518946359187</v>
      </c>
    </row>
    <row r="56" spans="1:15" ht="12.75">
      <c r="A56"/>
      <c r="B56"/>
      <c r="C56"/>
      <c r="D56"/>
      <c r="E56" s="3">
        <v>52</v>
      </c>
      <c r="F56" s="3">
        <f t="shared" si="1"/>
        <v>12022.644346174151</v>
      </c>
      <c r="G56" s="3">
        <f t="shared" si="14"/>
        <v>-18.17857212575811</v>
      </c>
      <c r="H56" s="3">
        <f t="shared" si="2"/>
        <v>19.172146296835496</v>
      </c>
      <c r="J56" s="3">
        <f t="shared" si="9"/>
        <v>0.0122467594914328</v>
      </c>
      <c r="K56" s="3">
        <f t="shared" si="10"/>
        <v>0.1133971717986326</v>
      </c>
      <c r="L56" s="3">
        <f t="shared" si="11"/>
        <v>0.11405657232255226</v>
      </c>
      <c r="M56" s="3">
        <f t="shared" si="12"/>
        <v>0.9246759491432799</v>
      </c>
      <c r="N56" s="3">
        <f t="shared" si="7"/>
        <v>0.015289397667407814</v>
      </c>
      <c r="O56" s="3">
        <f t="shared" si="13"/>
        <v>0.9248023446148143</v>
      </c>
    </row>
    <row r="57" spans="1:15" ht="12.75">
      <c r="A57"/>
      <c r="B57"/>
      <c r="C57"/>
      <c r="D57"/>
      <c r="E57" s="3">
        <v>53</v>
      </c>
      <c r="F57" s="3">
        <f t="shared" si="1"/>
        <v>13182.567385564067</v>
      </c>
      <c r="G57" s="3">
        <f t="shared" si="14"/>
        <v>-17.244019523094355</v>
      </c>
      <c r="H57" s="3">
        <f t="shared" si="2"/>
        <v>19.172146296835496</v>
      </c>
      <c r="J57" s="3">
        <f t="shared" si="9"/>
        <v>0.012094405725836527</v>
      </c>
      <c r="K57" s="3">
        <f t="shared" si="10"/>
        <v>0.12433752638150326</v>
      </c>
      <c r="L57" s="3">
        <f t="shared" si="11"/>
        <v>0.12492435757902527</v>
      </c>
      <c r="M57" s="3">
        <f t="shared" si="12"/>
        <v>0.9094405725836525</v>
      </c>
      <c r="N57" s="3">
        <f t="shared" si="7"/>
        <v>0.016764491174475107</v>
      </c>
      <c r="O57" s="3">
        <f t="shared" si="13"/>
        <v>0.909595076517909</v>
      </c>
    </row>
    <row r="58" spans="1:15" ht="12.75">
      <c r="A58"/>
      <c r="B58"/>
      <c r="C58"/>
      <c r="D58"/>
      <c r="E58" s="3">
        <v>54</v>
      </c>
      <c r="F58" s="3">
        <f t="shared" si="1"/>
        <v>14454.397707459266</v>
      </c>
      <c r="G58" s="3">
        <f t="shared" si="14"/>
        <v>-16.27553732550148</v>
      </c>
      <c r="H58" s="3">
        <f t="shared" si="2"/>
        <v>19.172146296835496</v>
      </c>
      <c r="J58" s="3">
        <f t="shared" si="9"/>
        <v>0.011911236211980087</v>
      </c>
      <c r="K58" s="3">
        <f t="shared" si="10"/>
        <v>0.13633338663969632</v>
      </c>
      <c r="L58" s="3">
        <f t="shared" si="11"/>
        <v>0.13685273055641423</v>
      </c>
      <c r="M58" s="3">
        <f t="shared" si="12"/>
        <v>0.8911236211980085</v>
      </c>
      <c r="N58" s="3">
        <f t="shared" si="7"/>
        <v>0.018381899042246803</v>
      </c>
      <c r="O58" s="3">
        <f t="shared" si="13"/>
        <v>0.8913131898886334</v>
      </c>
    </row>
    <row r="59" spans="1:15" ht="12.75">
      <c r="A59"/>
      <c r="B59"/>
      <c r="C59"/>
      <c r="D59"/>
      <c r="E59" s="3">
        <v>55</v>
      </c>
      <c r="F59" s="3">
        <f t="shared" si="1"/>
        <v>15848.931924611119</v>
      </c>
      <c r="G59" s="3">
        <f t="shared" si="14"/>
        <v>-15.265221108689646</v>
      </c>
      <c r="H59" s="3">
        <f t="shared" si="2"/>
        <v>19.172146296835496</v>
      </c>
      <c r="J59" s="3">
        <f t="shared" si="9"/>
        <v>0.011691018019964326</v>
      </c>
      <c r="K59" s="3">
        <f t="shared" si="10"/>
        <v>0.1494865858567856</v>
      </c>
      <c r="L59" s="3">
        <f t="shared" si="11"/>
        <v>0.14994305336847474</v>
      </c>
      <c r="M59" s="3">
        <f t="shared" si="12"/>
        <v>0.8691018019964325</v>
      </c>
      <c r="N59" s="3">
        <f t="shared" si="7"/>
        <v>0.02015535150352891</v>
      </c>
      <c r="O59" s="3">
        <f t="shared" si="13"/>
        <v>0.86933548209404</v>
      </c>
    </row>
    <row r="60" spans="1:15" ht="12.75">
      <c r="A60"/>
      <c r="B60"/>
      <c r="C60"/>
      <c r="D60"/>
      <c r="E60" s="3">
        <v>56</v>
      </c>
      <c r="F60" s="3">
        <f t="shared" si="1"/>
        <v>17378.00828749373</v>
      </c>
      <c r="G60" s="3">
        <f t="shared" si="14"/>
        <v>-14.202582474277857</v>
      </c>
      <c r="H60" s="3">
        <f t="shared" si="2"/>
        <v>19.172146296835496</v>
      </c>
      <c r="J60" s="3">
        <f t="shared" si="9"/>
        <v>0.01142625751984803</v>
      </c>
      <c r="K60" s="3">
        <f t="shared" si="10"/>
        <v>0.16390878200785153</v>
      </c>
      <c r="L60" s="3">
        <f t="shared" si="11"/>
        <v>0.16430656767216362</v>
      </c>
      <c r="M60" s="3">
        <f t="shared" si="12"/>
        <v>0.8426257519848028</v>
      </c>
      <c r="N60" s="3">
        <f t="shared" si="7"/>
        <v>0.0220999034592212</v>
      </c>
      <c r="O60" s="3">
        <f t="shared" si="13"/>
        <v>0.8429155139400754</v>
      </c>
    </row>
    <row r="61" spans="1:15" ht="12.75">
      <c r="A61"/>
      <c r="B61"/>
      <c r="C61"/>
      <c r="D61"/>
      <c r="E61" s="3">
        <v>57</v>
      </c>
      <c r="F61" s="3">
        <f t="shared" si="1"/>
        <v>19054.607179632472</v>
      </c>
      <c r="G61" s="3">
        <f t="shared" si="14"/>
        <v>-13.07349088263696</v>
      </c>
      <c r="H61" s="3">
        <f t="shared" si="2"/>
        <v>19.172146296835496</v>
      </c>
      <c r="J61" s="3">
        <f t="shared" si="9"/>
        <v>0.01110794538686668</v>
      </c>
      <c r="K61" s="3">
        <f t="shared" si="10"/>
        <v>0.17972240562799585</v>
      </c>
      <c r="L61" s="3">
        <f t="shared" si="11"/>
        <v>0.1800653479585439</v>
      </c>
      <c r="M61" s="3">
        <f t="shared" si="12"/>
        <v>0.810794538686668</v>
      </c>
      <c r="N61" s="3">
        <f t="shared" si="7"/>
        <v>0.02423206227990543</v>
      </c>
      <c r="O61" s="3">
        <f t="shared" si="13"/>
        <v>0.8111565673817009</v>
      </c>
    </row>
    <row r="62" spans="1:15" ht="12.75">
      <c r="A62"/>
      <c r="B62"/>
      <c r="C62"/>
      <c r="D62"/>
      <c r="E62" s="3">
        <v>58</v>
      </c>
      <c r="F62" s="3">
        <f t="shared" si="1"/>
        <v>20892.961308540387</v>
      </c>
      <c r="G62" s="3">
        <f t="shared" si="14"/>
        <v>-11.858495212323488</v>
      </c>
      <c r="H62" s="3">
        <f t="shared" si="2"/>
        <v>19.172146296835496</v>
      </c>
      <c r="J62" s="3">
        <f t="shared" si="9"/>
        <v>0.010725250030276003</v>
      </c>
      <c r="K62" s="3">
        <f t="shared" si="10"/>
        <v>0.1970616991294986</v>
      </c>
      <c r="L62" s="3">
        <f t="shared" si="11"/>
        <v>0.19735334872258178</v>
      </c>
      <c r="M62" s="3">
        <f t="shared" si="12"/>
        <v>0.7725250030276003</v>
      </c>
      <c r="N62" s="3">
        <f t="shared" si="7"/>
        <v>0.026569927937500012</v>
      </c>
      <c r="O62" s="3">
        <f t="shared" si="13"/>
        <v>0.7729817859260318</v>
      </c>
    </row>
    <row r="63" spans="1:15" ht="12.75">
      <c r="A63"/>
      <c r="B63"/>
      <c r="C63"/>
      <c r="D63"/>
      <c r="E63" s="3">
        <v>59</v>
      </c>
      <c r="F63" s="3">
        <f t="shared" si="1"/>
        <v>22908.67652767771</v>
      </c>
      <c r="G63" s="3">
        <f t="shared" si="14"/>
        <v>-10.530033146300607</v>
      </c>
      <c r="H63" s="3">
        <f t="shared" si="2"/>
        <v>19.172146296835496</v>
      </c>
      <c r="J63" s="3">
        <f t="shared" si="9"/>
        <v>0.010265149013753805</v>
      </c>
      <c r="K63" s="3">
        <f t="shared" si="10"/>
        <v>0.2160738563904236</v>
      </c>
      <c r="L63" s="3">
        <f t="shared" si="11"/>
        <v>0.2163175552277345</v>
      </c>
      <c r="M63" s="3">
        <f t="shared" si="12"/>
        <v>0.7265149013753803</v>
      </c>
      <c r="N63" s="3">
        <f t="shared" si="7"/>
        <v>0.02913334665656442</v>
      </c>
      <c r="O63" s="3">
        <f t="shared" si="13"/>
        <v>0.7270987923301001</v>
      </c>
    </row>
    <row r="64" spans="1:15" ht="12.75">
      <c r="A64"/>
      <c r="B64"/>
      <c r="C64"/>
      <c r="D64"/>
      <c r="E64" s="3">
        <v>60</v>
      </c>
      <c r="F64" s="3">
        <f t="shared" si="1"/>
        <v>25118.864315095816</v>
      </c>
      <c r="G64" s="3">
        <f t="shared" si="14"/>
        <v>-9.047510421529417</v>
      </c>
      <c r="H64" s="3">
        <f t="shared" si="2"/>
        <v>19.172146296835496</v>
      </c>
      <c r="J64" s="3">
        <f t="shared" si="9"/>
        <v>0.009711985925257835</v>
      </c>
      <c r="K64" s="3">
        <f t="shared" si="10"/>
        <v>0.2369202722886736</v>
      </c>
      <c r="L64" s="3">
        <f t="shared" si="11"/>
        <v>0.23711924867448372</v>
      </c>
      <c r="M64" s="3">
        <f t="shared" si="12"/>
        <v>0.6711985925257833</v>
      </c>
      <c r="N64" s="3">
        <f t="shared" si="7"/>
        <v>0.031944079389603884</v>
      </c>
      <c r="O64" s="3">
        <f t="shared" si="13"/>
        <v>0.671958313302724</v>
      </c>
    </row>
    <row r="65" spans="1:15" ht="12.75">
      <c r="A65"/>
      <c r="B65"/>
      <c r="C65"/>
      <c r="D65"/>
      <c r="E65" s="3">
        <v>61</v>
      </c>
      <c r="F65" s="3">
        <f t="shared" si="1"/>
        <v>27542.28703338167</v>
      </c>
      <c r="G65" s="3">
        <f t="shared" si="14"/>
        <v>-7.347948024886354</v>
      </c>
      <c r="H65" s="3">
        <f t="shared" si="2"/>
        <v>19.172146296835496</v>
      </c>
      <c r="J65" s="3">
        <f t="shared" si="9"/>
        <v>0.009046937617416016</v>
      </c>
      <c r="K65" s="3">
        <f t="shared" si="10"/>
        <v>0.259777912788837</v>
      </c>
      <c r="L65" s="3">
        <f t="shared" si="11"/>
        <v>0.2599353978456532</v>
      </c>
      <c r="M65" s="3">
        <f t="shared" si="12"/>
        <v>0.6046937617416015</v>
      </c>
      <c r="N65" s="3">
        <f t="shared" si="7"/>
        <v>0.03502598654656756</v>
      </c>
      <c r="O65" s="3">
        <f t="shared" si="13"/>
        <v>0.6057073263736943</v>
      </c>
    </row>
    <row r="66" spans="1:15" ht="12.75">
      <c r="A66"/>
      <c r="B66"/>
      <c r="C66"/>
      <c r="D66"/>
      <c r="E66" s="3">
        <v>62</v>
      </c>
      <c r="F66" s="3">
        <f t="shared" si="1"/>
        <v>30199.517204020158</v>
      </c>
      <c r="G66" s="3">
        <f t="shared" si="14"/>
        <v>-5.326357746532604</v>
      </c>
      <c r="H66" s="3">
        <f t="shared" si="2"/>
        <v>19.172146296835496</v>
      </c>
      <c r="J66" s="3">
        <f t="shared" si="9"/>
        <v>0.008247373689595307</v>
      </c>
      <c r="K66" s="3">
        <f t="shared" si="10"/>
        <v>0.2848408172125455</v>
      </c>
      <c r="L66" s="3">
        <f t="shared" si="11"/>
        <v>0.2849601907689679</v>
      </c>
      <c r="M66" s="3">
        <f t="shared" si="12"/>
        <v>0.5247373689595306</v>
      </c>
      <c r="N66" s="3">
        <f t="shared" si="7"/>
        <v>0.038405230546715845</v>
      </c>
      <c r="O66" s="3">
        <f t="shared" si="13"/>
        <v>0.5261409203967288</v>
      </c>
    </row>
    <row r="67" spans="1:15" ht="12.75">
      <c r="A67"/>
      <c r="B67"/>
      <c r="C67"/>
      <c r="D67"/>
      <c r="E67" s="3">
        <v>63</v>
      </c>
      <c r="F67" s="3">
        <f t="shared" si="1"/>
        <v>33113.11214825909</v>
      </c>
      <c r="G67" s="3">
        <f t="shared" si="14"/>
        <v>-2.788532146832414</v>
      </c>
      <c r="H67" s="3">
        <f t="shared" si="2"/>
        <v>19.172146296835496</v>
      </c>
      <c r="J67" s="3">
        <f t="shared" si="9"/>
        <v>0.0072860864159734655</v>
      </c>
      <c r="K67" s="3">
        <f t="shared" si="10"/>
        <v>0.3123217454451624</v>
      </c>
      <c r="L67" s="3">
        <f t="shared" si="11"/>
        <v>0.31240672165171773</v>
      </c>
      <c r="M67" s="3">
        <f t="shared" si="12"/>
        <v>0.42860864159734646</v>
      </c>
      <c r="N67" s="3">
        <f t="shared" si="7"/>
        <v>0.042110497912326114</v>
      </c>
      <c r="O67" s="3">
        <f t="shared" si="13"/>
        <v>0.43067233680182737</v>
      </c>
    </row>
    <row r="68" spans="1:15" ht="12.75">
      <c r="A68"/>
      <c r="B68"/>
      <c r="C68"/>
      <c r="D68"/>
      <c r="E68" s="3">
        <v>64</v>
      </c>
      <c r="F68" s="3">
        <f t="shared" si="1"/>
        <v>36307.805477010166</v>
      </c>
      <c r="G68" s="3">
        <f aca="true" t="shared" si="15" ref="G68:G104">20*LOG(L68/O68,10)</f>
        <v>0.6880621400120966</v>
      </c>
      <c r="H68" s="3">
        <f t="shared" si="2"/>
        <v>19.172146296835496</v>
      </c>
      <c r="J68" s="3">
        <f t="shared" si="9"/>
        <v>0.006130364915447562</v>
      </c>
      <c r="K68" s="3">
        <f t="shared" si="10"/>
        <v>0.3424539840620032</v>
      </c>
      <c r="L68" s="3">
        <f t="shared" si="11"/>
        <v>0.34250885035854955</v>
      </c>
      <c r="M68" s="3">
        <f t="shared" si="12"/>
        <v>0.3130364915447561</v>
      </c>
      <c r="N68" s="3">
        <f t="shared" si="7"/>
        <v>0.046173242789598765</v>
      </c>
      <c r="O68" s="3">
        <f t="shared" si="13"/>
        <v>0.31642347161416046</v>
      </c>
    </row>
    <row r="69" spans="1:15" ht="12.75">
      <c r="A69"/>
      <c r="B69"/>
      <c r="C69"/>
      <c r="D69"/>
      <c r="E69" s="3">
        <v>65</v>
      </c>
      <c r="F69" s="3">
        <f aca="true" t="shared" si="16" ref="F69:F104">10^(LOG($B$4,10)+E69*$B$6/100)</f>
        <v>39810.71705534974</v>
      </c>
      <c r="G69" s="3">
        <f t="shared" si="15"/>
        <v>6.324753788631533</v>
      </c>
      <c r="H69" s="3">
        <f aca="true" t="shared" si="17" ref="H69:H104">$B$3</f>
        <v>19.172146296835496</v>
      </c>
      <c r="J69" s="3">
        <f t="shared" si="9"/>
        <v>0.004740882059042627</v>
      </c>
      <c r="K69" s="3">
        <f t="shared" si="10"/>
        <v>0.3754933267063521</v>
      </c>
      <c r="L69" s="3">
        <f t="shared" si="11"/>
        <v>0.3755232540918086</v>
      </c>
      <c r="M69" s="3">
        <f t="shared" si="12"/>
        <v>0.17408820590426266</v>
      </c>
      <c r="N69" s="3">
        <f aca="true" t="shared" si="18" ref="N69:N104">2*PI()*F69*($B$8*0.001*$B$10*0.000001+$B$10*0.000001*$B$7*0.001)</f>
        <v>0.050627953964020554</v>
      </c>
      <c r="O69" s="3">
        <f t="shared" si="13"/>
        <v>0.18130056027918925</v>
      </c>
    </row>
    <row r="70" spans="1:15" ht="12.75">
      <c r="A70"/>
      <c r="B70"/>
      <c r="C70"/>
      <c r="D70"/>
      <c r="E70" s="3">
        <v>66</v>
      </c>
      <c r="F70" s="3">
        <f t="shared" si="16"/>
        <v>43651.583224016525</v>
      </c>
      <c r="G70" s="3">
        <f t="shared" si="15"/>
        <v>17.335272425452317</v>
      </c>
      <c r="H70" s="3">
        <f t="shared" si="17"/>
        <v>19.172146296835496</v>
      </c>
      <c r="J70" s="3">
        <f t="shared" si="9"/>
        <v>0.003070356238276395</v>
      </c>
      <c r="K70" s="3">
        <f t="shared" si="10"/>
        <v>0.41172024553078373</v>
      </c>
      <c r="L70" s="3">
        <f t="shared" si="11"/>
        <v>0.41173169378535673</v>
      </c>
      <c r="M70" s="3">
        <f t="shared" si="12"/>
        <v>0.007035623827639448</v>
      </c>
      <c r="N70" s="3">
        <f t="shared" si="18"/>
        <v>0.05551244763688935</v>
      </c>
      <c r="O70" s="3">
        <f t="shared" si="13"/>
        <v>0.05595651745134279</v>
      </c>
    </row>
    <row r="71" spans="1:15" ht="12.75">
      <c r="A71"/>
      <c r="B71"/>
      <c r="C71"/>
      <c r="D71"/>
      <c r="E71" s="3">
        <v>67</v>
      </c>
      <c r="F71" s="3">
        <f t="shared" si="16"/>
        <v>47863.00923226382</v>
      </c>
      <c r="G71" s="3">
        <f t="shared" si="15"/>
        <v>6.93618613975988</v>
      </c>
      <c r="H71" s="3">
        <f t="shared" si="17"/>
        <v>19.172146296835496</v>
      </c>
      <c r="J71" s="3">
        <f t="shared" si="9"/>
        <v>0.001061942456859014</v>
      </c>
      <c r="K71" s="3">
        <f t="shared" si="10"/>
        <v>0.45144227213522364</v>
      </c>
      <c r="L71" s="3">
        <f t="shared" si="11"/>
        <v>0.4514435211545238</v>
      </c>
      <c r="M71" s="3">
        <f t="shared" si="12"/>
        <v>-0.19380575431409852</v>
      </c>
      <c r="N71" s="3">
        <f t="shared" si="18"/>
        <v>0.06086818844838954</v>
      </c>
      <c r="O71" s="3">
        <f t="shared" si="13"/>
        <v>0.20313937769483636</v>
      </c>
    </row>
    <row r="72" spans="1:15" ht="12.75">
      <c r="A72"/>
      <c r="B72"/>
      <c r="C72"/>
      <c r="D72"/>
      <c r="E72" s="3">
        <v>68</v>
      </c>
      <c r="F72" s="3">
        <f t="shared" si="16"/>
        <v>52480.74602497713</v>
      </c>
      <c r="G72" s="3">
        <f t="shared" si="15"/>
        <v>1.0159749327022711</v>
      </c>
      <c r="H72" s="3">
        <f t="shared" si="17"/>
        <v>19.172146296835496</v>
      </c>
      <c r="J72" s="3">
        <f t="shared" si="9"/>
        <v>-0.0013527020025344751</v>
      </c>
      <c r="K72" s="3">
        <f t="shared" si="10"/>
        <v>0.49499660821360975</v>
      </c>
      <c r="L72" s="3">
        <f t="shared" si="11"/>
        <v>0.49499845650838703</v>
      </c>
      <c r="M72" s="3">
        <f t="shared" si="12"/>
        <v>-0.43527020025344765</v>
      </c>
      <c r="N72" s="3">
        <f t="shared" si="18"/>
        <v>0.06674064147239346</v>
      </c>
      <c r="O72" s="3">
        <f t="shared" si="13"/>
        <v>0.44035719643582866</v>
      </c>
    </row>
    <row r="73" spans="1:15" ht="12.75">
      <c r="A73"/>
      <c r="B73"/>
      <c r="C73"/>
      <c r="D73"/>
      <c r="E73" s="3">
        <v>69</v>
      </c>
      <c r="F73" s="3">
        <f t="shared" si="16"/>
        <v>57543.99373371573</v>
      </c>
      <c r="G73" s="3">
        <f t="shared" si="15"/>
        <v>-2.5652808870297332</v>
      </c>
      <c r="H73" s="3">
        <f t="shared" si="17"/>
        <v>19.172146296835496</v>
      </c>
      <c r="J73" s="3">
        <f t="shared" si="9"/>
        <v>-0.004255743158309427</v>
      </c>
      <c r="K73" s="3">
        <f t="shared" si="10"/>
        <v>0.5427529880710554</v>
      </c>
      <c r="L73" s="3">
        <f t="shared" si="11"/>
        <v>0.54276967252223</v>
      </c>
      <c r="M73" s="3">
        <f t="shared" si="12"/>
        <v>-0.7255743158309429</v>
      </c>
      <c r="N73" s="3">
        <f t="shared" si="18"/>
        <v>0.07317965817108926</v>
      </c>
      <c r="O73" s="3">
        <f t="shared" si="13"/>
        <v>0.7292553394823916</v>
      </c>
    </row>
    <row r="74" spans="1:15" ht="12.75">
      <c r="A74"/>
      <c r="B74"/>
      <c r="C74"/>
      <c r="D74"/>
      <c r="E74" s="3">
        <v>70</v>
      </c>
      <c r="F74" s="3">
        <f t="shared" si="16"/>
        <v>63095.73444801923</v>
      </c>
      <c r="G74" s="3">
        <f t="shared" si="15"/>
        <v>-5.156276495603953</v>
      </c>
      <c r="H74" s="3">
        <f t="shared" si="17"/>
        <v>19.172146296835496</v>
      </c>
      <c r="J74" s="3">
        <f t="shared" si="9"/>
        <v>-0.007745966292128086</v>
      </c>
      <c r="K74" s="3">
        <f t="shared" si="10"/>
        <v>0.5951168173114731</v>
      </c>
      <c r="L74" s="3">
        <f t="shared" si="11"/>
        <v>0.5951672254423425</v>
      </c>
      <c r="M74" s="3">
        <f t="shared" si="12"/>
        <v>-1.0745966292128086</v>
      </c>
      <c r="N74" s="3">
        <f t="shared" si="18"/>
        <v>0.08023989958581067</v>
      </c>
      <c r="O74" s="3">
        <f t="shared" si="13"/>
        <v>1.0775882130949055</v>
      </c>
    </row>
    <row r="75" spans="1:15" ht="12.75">
      <c r="A75"/>
      <c r="B75"/>
      <c r="C75"/>
      <c r="D75"/>
      <c r="E75" s="3">
        <v>71</v>
      </c>
      <c r="F75" s="3">
        <f t="shared" si="16"/>
        <v>69183.09709189365</v>
      </c>
      <c r="G75" s="3">
        <f t="shared" si="15"/>
        <v>-7.209786712082144</v>
      </c>
      <c r="H75" s="3">
        <f t="shared" si="17"/>
        <v>19.172146296835496</v>
      </c>
      <c r="J75" s="3">
        <f t="shared" si="9"/>
        <v>-0.011942137434797353</v>
      </c>
      <c r="K75" s="3">
        <f t="shared" si="10"/>
        <v>0.6525326143401584</v>
      </c>
      <c r="L75" s="3">
        <f t="shared" si="11"/>
        <v>0.6526418829833965</v>
      </c>
      <c r="M75" s="3">
        <f t="shared" si="12"/>
        <v>-1.4942137434797353</v>
      </c>
      <c r="N75" s="3">
        <f t="shared" si="18"/>
        <v>0.08798130035656011</v>
      </c>
      <c r="O75" s="3">
        <f t="shared" si="13"/>
        <v>1.4968017304961119</v>
      </c>
    </row>
    <row r="76" spans="1:15" ht="12.75">
      <c r="A76"/>
      <c r="B76"/>
      <c r="C76"/>
      <c r="D76"/>
      <c r="E76" s="3">
        <v>72</v>
      </c>
      <c r="F76" s="3">
        <f t="shared" si="16"/>
        <v>75857.75750291835</v>
      </c>
      <c r="G76" s="3">
        <f t="shared" si="15"/>
        <v>-8.930585515631467</v>
      </c>
      <c r="H76" s="3">
        <f t="shared" si="17"/>
        <v>19.172146296835496</v>
      </c>
      <c r="J76" s="3">
        <f t="shared" si="9"/>
        <v>-0.016987044761196432</v>
      </c>
      <c r="K76" s="3">
        <f t="shared" si="10"/>
        <v>0.7154877838962933</v>
      </c>
      <c r="L76" s="3">
        <f t="shared" si="11"/>
        <v>0.715689407909987</v>
      </c>
      <c r="M76" s="3">
        <f t="shared" si="12"/>
        <v>-1.9987044761196433</v>
      </c>
      <c r="N76" s="3">
        <f t="shared" si="18"/>
        <v>0.09646957750929276</v>
      </c>
      <c r="O76" s="3">
        <f t="shared" si="13"/>
        <v>2.0010312247052817</v>
      </c>
    </row>
    <row r="77" spans="1:15" ht="12.75">
      <c r="A77"/>
      <c r="B77"/>
      <c r="C77"/>
      <c r="D77"/>
      <c r="E77" s="3">
        <v>73</v>
      </c>
      <c r="F77" s="3">
        <f t="shared" si="16"/>
        <v>83176.37711026717</v>
      </c>
      <c r="G77" s="3">
        <f t="shared" si="15"/>
        <v>-10.428301301366327</v>
      </c>
      <c r="H77" s="3">
        <f t="shared" si="17"/>
        <v>19.172146296835496</v>
      </c>
      <c r="J77" s="3">
        <f t="shared" si="9"/>
        <v>-0.023052357415666965</v>
      </c>
      <c r="K77" s="3">
        <f t="shared" si="10"/>
        <v>0.7845167546490935</v>
      </c>
      <c r="L77" s="3">
        <f t="shared" si="11"/>
        <v>0.7848553685282185</v>
      </c>
      <c r="M77" s="3">
        <f t="shared" si="12"/>
        <v>-2.605235741566697</v>
      </c>
      <c r="N77" s="3">
        <f t="shared" si="18"/>
        <v>0.10577678833008462</v>
      </c>
      <c r="O77" s="3">
        <f t="shared" si="13"/>
        <v>2.6073822117376664</v>
      </c>
    </row>
    <row r="78" spans="1:15" ht="12.75">
      <c r="A78"/>
      <c r="B78"/>
      <c r="C78"/>
      <c r="D78"/>
      <c r="E78" s="3">
        <v>74</v>
      </c>
      <c r="F78" s="3">
        <f t="shared" si="16"/>
        <v>91201.08393559087</v>
      </c>
      <c r="G78" s="3">
        <f t="shared" si="15"/>
        <v>-11.768281383195642</v>
      </c>
      <c r="H78" s="3">
        <f t="shared" si="17"/>
        <v>19.172146296835496</v>
      </c>
      <c r="J78" s="3">
        <f t="shared" si="9"/>
        <v>-0.030344467104971563</v>
      </c>
      <c r="K78" s="3">
        <f t="shared" si="10"/>
        <v>0.8602055159817421</v>
      </c>
      <c r="L78" s="3">
        <f t="shared" si="11"/>
        <v>0.8607405627767869</v>
      </c>
      <c r="M78" s="3">
        <f t="shared" si="12"/>
        <v>-3.334446710497157</v>
      </c>
      <c r="N78" s="3">
        <f t="shared" si="18"/>
        <v>0.11598194206199046</v>
      </c>
      <c r="O78" s="3">
        <f t="shared" si="13"/>
        <v>3.336463198662587</v>
      </c>
    </row>
    <row r="79" spans="1:15" ht="12.75">
      <c r="A79"/>
      <c r="B79"/>
      <c r="C79"/>
      <c r="D79"/>
      <c r="E79" s="3">
        <v>75</v>
      </c>
      <c r="F79" s="3">
        <f t="shared" si="16"/>
        <v>100000</v>
      </c>
      <c r="G79" s="3">
        <f t="shared" si="15"/>
        <v>-12.992469571417903</v>
      </c>
      <c r="H79" s="3">
        <f t="shared" si="17"/>
        <v>19.172146296835496</v>
      </c>
      <c r="J79" s="3">
        <f t="shared" si="9"/>
        <v>-0.03911151123775182</v>
      </c>
      <c r="K79" s="3">
        <f t="shared" si="10"/>
        <v>0.9431965924760792</v>
      </c>
      <c r="L79" s="3">
        <f t="shared" si="11"/>
        <v>0.944007162244963</v>
      </c>
      <c r="M79" s="3">
        <f t="shared" si="12"/>
        <v>-4.211151123775181</v>
      </c>
      <c r="N79" s="3">
        <f t="shared" si="18"/>
        <v>0.12717167061731482</v>
      </c>
      <c r="O79" s="3">
        <f t="shared" si="13"/>
        <v>4.213070901501727</v>
      </c>
    </row>
    <row r="80" spans="1:15" ht="12.75">
      <c r="A80"/>
      <c r="B80"/>
      <c r="C80"/>
      <c r="D80"/>
      <c r="E80" s="3">
        <v>76</v>
      </c>
      <c r="F80" s="3">
        <f t="shared" si="16"/>
        <v>109647.81961431848</v>
      </c>
      <c r="G80" s="3">
        <f t="shared" si="15"/>
        <v>-14.129268874779102</v>
      </c>
      <c r="H80" s="3">
        <f t="shared" si="17"/>
        <v>19.172146296835496</v>
      </c>
      <c r="J80" s="3">
        <f t="shared" si="9"/>
        <v>-0.049651816595314605</v>
      </c>
      <c r="K80" s="3">
        <f t="shared" si="10"/>
        <v>1.0341944983265698</v>
      </c>
      <c r="L80" s="3">
        <f t="shared" si="11"/>
        <v>1.0353857074830424</v>
      </c>
      <c r="M80" s="3">
        <f t="shared" si="12"/>
        <v>-5.265181659531461</v>
      </c>
      <c r="N80" s="3">
        <f t="shared" si="18"/>
        <v>0.13944096399898862</v>
      </c>
      <c r="O80" s="3">
        <f t="shared" si="13"/>
        <v>5.267027785222652</v>
      </c>
    </row>
    <row r="81" spans="1:15" ht="12.75">
      <c r="A81"/>
      <c r="B81"/>
      <c r="C81"/>
      <c r="D81"/>
      <c r="E81" s="3">
        <v>77</v>
      </c>
      <c r="F81" s="3">
        <f t="shared" si="16"/>
        <v>120226.44346174144</v>
      </c>
      <c r="G81" s="3">
        <f t="shared" si="15"/>
        <v>-15.198697246867752</v>
      </c>
      <c r="H81" s="3">
        <f t="shared" si="17"/>
        <v>19.172146296835496</v>
      </c>
      <c r="J81" s="3">
        <f t="shared" si="9"/>
        <v>-0.062324050856720006</v>
      </c>
      <c r="K81" s="3">
        <f t="shared" si="10"/>
        <v>1.1339717179863253</v>
      </c>
      <c r="L81" s="3">
        <f t="shared" si="11"/>
        <v>1.1356831179990523</v>
      </c>
      <c r="M81" s="3">
        <f t="shared" si="12"/>
        <v>-6.532405085672</v>
      </c>
      <c r="N81" s="3">
        <f t="shared" si="18"/>
        <v>0.15289397667407809</v>
      </c>
      <c r="O81" s="3">
        <f t="shared" si="13"/>
        <v>6.534194117977872</v>
      </c>
    </row>
    <row r="82" spans="1:15" ht="12.75">
      <c r="A82"/>
      <c r="B82"/>
      <c r="C82"/>
      <c r="D82"/>
      <c r="E82" s="3">
        <v>78</v>
      </c>
      <c r="F82" s="3">
        <f t="shared" si="16"/>
        <v>131825.67385564058</v>
      </c>
      <c r="G82" s="3">
        <f t="shared" si="15"/>
        <v>-16.215297558131233</v>
      </c>
      <c r="H82" s="3">
        <f t="shared" si="17"/>
        <v>19.172146296835496</v>
      </c>
      <c r="J82" s="3">
        <f t="shared" si="9"/>
        <v>-0.0775594274163473</v>
      </c>
      <c r="K82" s="3">
        <f t="shared" si="10"/>
        <v>1.2433752638150317</v>
      </c>
      <c r="L82" s="3">
        <f t="shared" si="11"/>
        <v>1.2457919214091298</v>
      </c>
      <c r="M82" s="3">
        <f t="shared" si="12"/>
        <v>-8.05594274163473</v>
      </c>
      <c r="N82" s="3">
        <f t="shared" si="18"/>
        <v>0.16764491174475094</v>
      </c>
      <c r="O82" s="3">
        <f t="shared" si="13"/>
        <v>8.05768690586394</v>
      </c>
    </row>
    <row r="83" spans="1:15" ht="12.75">
      <c r="A83"/>
      <c r="B83"/>
      <c r="C83"/>
      <c r="D83"/>
      <c r="E83" s="3">
        <v>79</v>
      </c>
      <c r="F83" s="3">
        <f t="shared" si="16"/>
        <v>144543.97707459255</v>
      </c>
      <c r="G83" s="3">
        <f t="shared" si="15"/>
        <v>-17.189881808213435</v>
      </c>
      <c r="H83" s="3">
        <f t="shared" si="17"/>
        <v>19.172146296835496</v>
      </c>
      <c r="J83" s="3">
        <f t="shared" si="9"/>
        <v>-0.09587637880199136</v>
      </c>
      <c r="K83" s="3">
        <f t="shared" si="10"/>
        <v>1.3633338663969623</v>
      </c>
      <c r="L83" s="3">
        <f t="shared" si="11"/>
        <v>1.3667009589800811</v>
      </c>
      <c r="M83" s="3">
        <f t="shared" si="12"/>
        <v>-9.887637880199136</v>
      </c>
      <c r="N83" s="3">
        <f t="shared" si="18"/>
        <v>0.1838189904224679</v>
      </c>
      <c r="O83" s="3">
        <f t="shared" si="13"/>
        <v>9.889346402628881</v>
      </c>
    </row>
    <row r="84" spans="1:15" ht="12.75">
      <c r="A84"/>
      <c r="B84"/>
      <c r="C84"/>
      <c r="D84"/>
      <c r="E84" s="3">
        <v>80</v>
      </c>
      <c r="F84" s="3">
        <f t="shared" si="16"/>
        <v>158489.31924611135</v>
      </c>
      <c r="G84" s="3">
        <f t="shared" si="15"/>
        <v>-18.130628316749423</v>
      </c>
      <c r="H84" s="3">
        <f t="shared" si="17"/>
        <v>19.172146296835496</v>
      </c>
      <c r="J84" s="3">
        <f t="shared" si="9"/>
        <v>-0.11789819800356781</v>
      </c>
      <c r="K84" s="3">
        <f t="shared" si="10"/>
        <v>1.4948658585678574</v>
      </c>
      <c r="L84" s="3">
        <f t="shared" si="11"/>
        <v>1.49950789267823</v>
      </c>
      <c r="M84" s="3">
        <f t="shared" si="12"/>
        <v>-12.089819800356779</v>
      </c>
      <c r="N84" s="3">
        <f t="shared" si="18"/>
        <v>0.2015535150352893</v>
      </c>
      <c r="O84" s="3">
        <f t="shared" si="13"/>
        <v>12.091499767378814</v>
      </c>
    </row>
    <row r="85" spans="1:15" ht="12.75">
      <c r="A85"/>
      <c r="B85"/>
      <c r="C85"/>
      <c r="D85"/>
      <c r="E85" s="3">
        <v>81</v>
      </c>
      <c r="F85" s="3">
        <f t="shared" si="16"/>
        <v>173780.08287493748</v>
      </c>
      <c r="G85" s="3">
        <f t="shared" si="15"/>
        <v>-19.043799593533087</v>
      </c>
      <c r="H85" s="3">
        <f t="shared" si="17"/>
        <v>19.172146296835496</v>
      </c>
      <c r="J85" s="3">
        <f t="shared" si="9"/>
        <v>-0.14437424801519744</v>
      </c>
      <c r="K85" s="3">
        <f t="shared" si="10"/>
        <v>1.6390878200785168</v>
      </c>
      <c r="L85" s="3">
        <f t="shared" si="11"/>
        <v>1.6454339261786533</v>
      </c>
      <c r="M85" s="3">
        <f t="shared" si="12"/>
        <v>-14.737424801519746</v>
      </c>
      <c r="N85" s="3">
        <f t="shared" si="18"/>
        <v>0.22099903459221223</v>
      </c>
      <c r="O85" s="3">
        <f t="shared" si="13"/>
        <v>14.739081733735654</v>
      </c>
    </row>
    <row r="86" spans="1:15" ht="12.75">
      <c r="A86"/>
      <c r="B86"/>
      <c r="C86"/>
      <c r="D86"/>
      <c r="E86" s="3">
        <v>82</v>
      </c>
      <c r="F86" s="3">
        <f t="shared" si="16"/>
        <v>190546.0717963246</v>
      </c>
      <c r="G86" s="3">
        <f t="shared" si="15"/>
        <v>-19.934227364503922</v>
      </c>
      <c r="H86" s="3">
        <f t="shared" si="17"/>
        <v>19.172146296835496</v>
      </c>
      <c r="J86" s="3">
        <f t="shared" si="9"/>
        <v>-0.17620546131333184</v>
      </c>
      <c r="K86" s="3">
        <f t="shared" si="10"/>
        <v>1.7972240562799573</v>
      </c>
      <c r="L86" s="3">
        <f t="shared" si="11"/>
        <v>1.805841264637628</v>
      </c>
      <c r="M86" s="3">
        <f t="shared" si="12"/>
        <v>-17.920546131333182</v>
      </c>
      <c r="N86" s="3">
        <f t="shared" si="18"/>
        <v>0.24232062279905417</v>
      </c>
      <c r="O86" s="3">
        <f t="shared" si="13"/>
        <v>17.922184379407394</v>
      </c>
    </row>
    <row r="87" spans="1:15" ht="12.75">
      <c r="A87"/>
      <c r="B87"/>
      <c r="C87"/>
      <c r="D87"/>
      <c r="E87" s="3">
        <v>83</v>
      </c>
      <c r="F87" s="3">
        <f t="shared" si="16"/>
        <v>208929.61308540372</v>
      </c>
      <c r="G87" s="3">
        <f t="shared" si="15"/>
        <v>-20.805648896165422</v>
      </c>
      <c r="H87" s="3">
        <f t="shared" si="17"/>
        <v>19.172146296835496</v>
      </c>
      <c r="J87" s="3">
        <f t="shared" si="9"/>
        <v>-0.2144749969723995</v>
      </c>
      <c r="K87" s="3">
        <f t="shared" si="10"/>
        <v>1.9706169912949847</v>
      </c>
      <c r="L87" s="3">
        <f t="shared" si="11"/>
        <v>1.9822539823914616</v>
      </c>
      <c r="M87" s="3">
        <f t="shared" si="12"/>
        <v>-21.74749969723995</v>
      </c>
      <c r="N87" s="3">
        <f t="shared" si="18"/>
        <v>0.26569927937499993</v>
      </c>
      <c r="O87" s="3">
        <f t="shared" si="13"/>
        <v>21.749122722273466</v>
      </c>
    </row>
    <row r="88" spans="1:15" ht="12.75">
      <c r="A88"/>
      <c r="B88"/>
      <c r="C88"/>
      <c r="D88"/>
      <c r="E88" s="3">
        <v>84</v>
      </c>
      <c r="F88" s="3">
        <f t="shared" si="16"/>
        <v>229086.76527677738</v>
      </c>
      <c r="G88" s="3">
        <f t="shared" si="15"/>
        <v>-21.660944983374833</v>
      </c>
      <c r="H88" s="3">
        <f t="shared" si="17"/>
        <v>19.172146296835496</v>
      </c>
      <c r="J88" s="3">
        <f t="shared" si="9"/>
        <v>-0.2604850986246202</v>
      </c>
      <c r="K88" s="3">
        <f t="shared" si="10"/>
        <v>2.1607385639042382</v>
      </c>
      <c r="L88" s="3">
        <f t="shared" si="11"/>
        <v>2.1763831528819617</v>
      </c>
      <c r="M88" s="3">
        <f t="shared" si="12"/>
        <v>-26.34850986246203</v>
      </c>
      <c r="N88" s="3">
        <f t="shared" si="18"/>
        <v>0.29133346656564446</v>
      </c>
      <c r="O88" s="3">
        <f t="shared" si="13"/>
        <v>26.350120439212418</v>
      </c>
    </row>
    <row r="89" spans="1:15" ht="12.75">
      <c r="A89"/>
      <c r="B89"/>
      <c r="C89"/>
      <c r="D89"/>
      <c r="E89" s="3">
        <v>85</v>
      </c>
      <c r="F89" s="3">
        <f t="shared" si="16"/>
        <v>251188.643150958</v>
      </c>
      <c r="G89" s="3">
        <f t="shared" si="15"/>
        <v>-22.502310832609666</v>
      </c>
      <c r="H89" s="3">
        <f t="shared" si="17"/>
        <v>19.172146296835496</v>
      </c>
      <c r="J89" s="3">
        <f t="shared" si="9"/>
        <v>-0.3158014074742163</v>
      </c>
      <c r="K89" s="3">
        <f t="shared" si="10"/>
        <v>2.3692027228867345</v>
      </c>
      <c r="L89" s="3">
        <f t="shared" si="11"/>
        <v>2.390157331870982</v>
      </c>
      <c r="M89" s="3">
        <f t="shared" si="12"/>
        <v>-31.880140747421635</v>
      </c>
      <c r="N89" s="3">
        <f t="shared" si="18"/>
        <v>0.3194407938960387</v>
      </c>
      <c r="O89" s="3">
        <f t="shared" si="13"/>
        <v>31.881741114566157</v>
      </c>
    </row>
    <row r="90" spans="1:15" ht="12.75">
      <c r="A90"/>
      <c r="B90"/>
      <c r="C90"/>
      <c r="D90"/>
      <c r="E90" s="3">
        <v>86</v>
      </c>
      <c r="F90" s="3">
        <f t="shared" si="16"/>
        <v>275422.8703338165</v>
      </c>
      <c r="G90" s="3">
        <f t="shared" si="15"/>
        <v>-23.331379820675853</v>
      </c>
      <c r="H90" s="3">
        <f t="shared" si="17"/>
        <v>19.172146296835496</v>
      </c>
      <c r="J90" s="3">
        <f t="shared" si="9"/>
        <v>-0.3823062382583979</v>
      </c>
      <c r="K90" s="3">
        <f t="shared" si="10"/>
        <v>2.5977791278883675</v>
      </c>
      <c r="L90" s="3">
        <f t="shared" si="11"/>
        <v>2.6257597866339055</v>
      </c>
      <c r="M90" s="3">
        <f t="shared" si="12"/>
        <v>-38.53062382583978</v>
      </c>
      <c r="N90" s="3">
        <f t="shared" si="18"/>
        <v>0.3502598654656753</v>
      </c>
      <c r="O90" s="3">
        <f t="shared" si="13"/>
        <v>38.53221579901328</v>
      </c>
    </row>
    <row r="91" spans="1:15" ht="12.75">
      <c r="A91"/>
      <c r="B91"/>
      <c r="C91"/>
      <c r="D91"/>
      <c r="E91" s="3">
        <v>87</v>
      </c>
      <c r="F91" s="3">
        <f t="shared" si="16"/>
        <v>301995.1720402019</v>
      </c>
      <c r="G91" s="3">
        <f t="shared" si="15"/>
        <v>-24.149313281228622</v>
      </c>
      <c r="H91" s="3">
        <f t="shared" si="17"/>
        <v>19.172146296835496</v>
      </c>
      <c r="J91" s="3">
        <f t="shared" si="9"/>
        <v>-0.46226263104047044</v>
      </c>
      <c r="K91" s="3">
        <f t="shared" si="10"/>
        <v>2.848408172125458</v>
      </c>
      <c r="L91" s="3">
        <f t="shared" si="11"/>
        <v>2.8856742461836453</v>
      </c>
      <c r="M91" s="3">
        <f t="shared" si="12"/>
        <v>-46.52626310404705</v>
      </c>
      <c r="N91" s="3">
        <f t="shared" si="18"/>
        <v>0.38405230546715885</v>
      </c>
      <c r="O91" s="3">
        <f t="shared" si="13"/>
        <v>46.527848162152786</v>
      </c>
    </row>
    <row r="92" spans="1:15" ht="12.75">
      <c r="A92"/>
      <c r="B92"/>
      <c r="C92"/>
      <c r="D92"/>
      <c r="E92" s="3">
        <v>88</v>
      </c>
      <c r="F92" s="3">
        <f t="shared" si="16"/>
        <v>331131.12148259126</v>
      </c>
      <c r="G92" s="3">
        <f t="shared" si="15"/>
        <v>-24.956865226760357</v>
      </c>
      <c r="H92" s="3">
        <f t="shared" si="17"/>
        <v>19.172146296835496</v>
      </c>
      <c r="J92" s="3">
        <f t="shared" si="9"/>
        <v>-0.5583913584026549</v>
      </c>
      <c r="K92" s="3">
        <f t="shared" si="10"/>
        <v>3.1232174544516274</v>
      </c>
      <c r="L92" s="3">
        <f t="shared" si="11"/>
        <v>3.172741429257995</v>
      </c>
      <c r="M92" s="3">
        <f t="shared" si="12"/>
        <v>-56.13913584026548</v>
      </c>
      <c r="N92" s="3">
        <f t="shared" si="18"/>
        <v>0.4211049791232616</v>
      </c>
      <c r="O92" s="3">
        <f t="shared" si="13"/>
        <v>56.140715192231234</v>
      </c>
    </row>
    <row r="93" spans="1:15" ht="12.75">
      <c r="A93"/>
      <c r="B93"/>
      <c r="C93"/>
      <c r="D93"/>
      <c r="E93" s="3">
        <v>89</v>
      </c>
      <c r="F93" s="3">
        <f t="shared" si="16"/>
        <v>363078.0547701014</v>
      </c>
      <c r="G93" s="3">
        <f t="shared" si="15"/>
        <v>-25.754428235538114</v>
      </c>
      <c r="H93" s="3">
        <f t="shared" si="17"/>
        <v>19.172146296835496</v>
      </c>
      <c r="J93" s="3">
        <f t="shared" si="9"/>
        <v>-0.6739635084552428</v>
      </c>
      <c r="K93" s="3">
        <f t="shared" si="10"/>
        <v>3.424539840620029</v>
      </c>
      <c r="L93" s="3">
        <f t="shared" si="11"/>
        <v>3.4902292089092306</v>
      </c>
      <c r="M93" s="3">
        <f t="shared" si="12"/>
        <v>-67.69635084552426</v>
      </c>
      <c r="N93" s="3">
        <f t="shared" si="18"/>
        <v>0.46173242789598723</v>
      </c>
      <c r="O93" s="3">
        <f t="shared" si="13"/>
        <v>67.69792548250858</v>
      </c>
    </row>
    <row r="94" spans="1:15" ht="12.75">
      <c r="A94"/>
      <c r="B94"/>
      <c r="C94"/>
      <c r="D94"/>
      <c r="E94" s="3">
        <v>90</v>
      </c>
      <c r="F94" s="3">
        <f t="shared" si="16"/>
        <v>398107.17055349716</v>
      </c>
      <c r="G94" s="3">
        <f t="shared" si="15"/>
        <v>-26.54206504449155</v>
      </c>
      <c r="H94" s="3">
        <f t="shared" si="17"/>
        <v>19.172146296835496</v>
      </c>
      <c r="J94" s="3">
        <f aca="true" t="shared" si="19" ref="J94:J104">$B$8*0.001-(2*PI()*F94)^2*$B$7*0.001*$B$10*$B$9*0.000000000001</f>
        <v>-0.8129117940957363</v>
      </c>
      <c r="K94" s="3">
        <f aca="true" t="shared" si="20" ref="K94:K104">2*PI()*F94*($B$7*0.001*$B$8*0.001*$B$10*0.000001+$B$9*0.000001)</f>
        <v>3.7549332670635187</v>
      </c>
      <c r="L94" s="3">
        <f aca="true" t="shared" si="21" ref="L94:L104">SQRT(J94^2+K94^2)</f>
        <v>3.841920018048301</v>
      </c>
      <c r="M94" s="3">
        <f aca="true" t="shared" si="22" ref="M94:M104">1-(2*PI()*F94)^2*$B$10*$B$9*0.000000000001</f>
        <v>-81.59117940957363</v>
      </c>
      <c r="N94" s="3">
        <f t="shared" si="18"/>
        <v>0.5062795396402052</v>
      </c>
      <c r="O94" s="3">
        <f aca="true" t="shared" si="23" ref="O94:O104">(SQRT(M94^2+N94^2))</f>
        <v>81.59275014618328</v>
      </c>
    </row>
    <row r="95" spans="1:15" ht="12.75">
      <c r="A95"/>
      <c r="B95"/>
      <c r="C95"/>
      <c r="D95"/>
      <c r="E95" s="3">
        <v>91</v>
      </c>
      <c r="F95" s="3">
        <f t="shared" si="16"/>
        <v>436515.8322401649</v>
      </c>
      <c r="G95" s="3">
        <f t="shared" si="15"/>
        <v>-27.31952935564061</v>
      </c>
      <c r="H95" s="3">
        <f t="shared" si="17"/>
        <v>19.172146296835496</v>
      </c>
      <c r="J95" s="3">
        <f t="shared" si="19"/>
        <v>-0.9799643761723591</v>
      </c>
      <c r="K95" s="3">
        <f t="shared" si="20"/>
        <v>4.117202455307834</v>
      </c>
      <c r="L95" s="3">
        <f t="shared" si="21"/>
        <v>4.232220012778133</v>
      </c>
      <c r="M95" s="3">
        <f t="shared" si="22"/>
        <v>-98.29643761723591</v>
      </c>
      <c r="N95" s="3">
        <f t="shared" si="18"/>
        <v>0.5551244763688931</v>
      </c>
      <c r="O95" s="3">
        <f t="shared" si="23"/>
        <v>98.29800512433309</v>
      </c>
    </row>
    <row r="96" spans="1:15" ht="12.75">
      <c r="A96"/>
      <c r="B96"/>
      <c r="C96"/>
      <c r="D96"/>
      <c r="E96" s="3">
        <v>92</v>
      </c>
      <c r="F96" s="3">
        <f t="shared" si="16"/>
        <v>478630.0923226387</v>
      </c>
      <c r="G96" s="3">
        <f t="shared" si="15"/>
        <v>-28.086278787338582</v>
      </c>
      <c r="H96" s="3">
        <f t="shared" si="17"/>
        <v>19.172146296835496</v>
      </c>
      <c r="J96" s="3">
        <f t="shared" si="19"/>
        <v>-1.1808057543141013</v>
      </c>
      <c r="K96" s="3">
        <f t="shared" si="20"/>
        <v>4.514422721352241</v>
      </c>
      <c r="L96" s="3">
        <f t="shared" si="21"/>
        <v>4.66629561177629</v>
      </c>
      <c r="M96" s="3">
        <f t="shared" si="22"/>
        <v>-118.38057543141012</v>
      </c>
      <c r="N96" s="3">
        <f t="shared" si="18"/>
        <v>0.608681884483896</v>
      </c>
      <c r="O96" s="3">
        <f t="shared" si="23"/>
        <v>118.38214026240732</v>
      </c>
    </row>
    <row r="97" spans="1:15" ht="12.75">
      <c r="A97"/>
      <c r="B97"/>
      <c r="C97"/>
      <c r="D97"/>
      <c r="E97" s="3">
        <v>93</v>
      </c>
      <c r="F97" s="3">
        <f t="shared" si="16"/>
        <v>524807.460249772</v>
      </c>
      <c r="G97" s="3">
        <f t="shared" si="15"/>
        <v>-28.841482661105434</v>
      </c>
      <c r="H97" s="3">
        <f t="shared" si="17"/>
        <v>19.172146296835496</v>
      </c>
      <c r="J97" s="3">
        <f t="shared" si="19"/>
        <v>-1.422270200253451</v>
      </c>
      <c r="K97" s="3">
        <f t="shared" si="20"/>
        <v>4.949966082136103</v>
      </c>
      <c r="L97" s="3">
        <f t="shared" si="21"/>
        <v>5.150244337585047</v>
      </c>
      <c r="M97" s="3">
        <f t="shared" si="22"/>
        <v>-142.52702002534508</v>
      </c>
      <c r="N97" s="3">
        <f t="shared" si="18"/>
        <v>0.6674064147239355</v>
      </c>
      <c r="O97" s="3">
        <f t="shared" si="23"/>
        <v>142.5285826374048</v>
      </c>
    </row>
    <row r="98" spans="1:15" ht="12.75">
      <c r="A98"/>
      <c r="B98"/>
      <c r="C98"/>
      <c r="D98"/>
      <c r="E98" s="3">
        <v>94</v>
      </c>
      <c r="F98" s="3">
        <f t="shared" si="16"/>
        <v>575439.937337157</v>
      </c>
      <c r="G98" s="3">
        <f t="shared" si="15"/>
        <v>-29.584027328284073</v>
      </c>
      <c r="H98" s="3">
        <f t="shared" si="17"/>
        <v>19.172146296835496</v>
      </c>
      <c r="J98" s="3">
        <f t="shared" si="19"/>
        <v>-1.7125743158309412</v>
      </c>
      <c r="K98" s="3">
        <f t="shared" si="20"/>
        <v>5.4275298807105505</v>
      </c>
      <c r="L98" s="3">
        <f t="shared" si="21"/>
        <v>5.691308407848735</v>
      </c>
      <c r="M98" s="3">
        <f t="shared" si="22"/>
        <v>-171.55743158309411</v>
      </c>
      <c r="N98" s="3">
        <f t="shared" si="18"/>
        <v>0.7317965817108921</v>
      </c>
      <c r="O98" s="3">
        <f t="shared" si="23"/>
        <v>171.55899235430655</v>
      </c>
    </row>
    <row r="99" spans="1:15" ht="12.75">
      <c r="A99"/>
      <c r="B99"/>
      <c r="C99"/>
      <c r="D99"/>
      <c r="E99" s="3">
        <v>95</v>
      </c>
      <c r="F99" s="3">
        <f t="shared" si="16"/>
        <v>630957.344480193</v>
      </c>
      <c r="G99" s="3">
        <f t="shared" si="15"/>
        <v>-30.312521939367713</v>
      </c>
      <c r="H99" s="3">
        <f t="shared" si="17"/>
        <v>19.172146296835496</v>
      </c>
      <c r="J99" s="3">
        <f t="shared" si="19"/>
        <v>-2.0615966292128136</v>
      </c>
      <c r="K99" s="3">
        <f t="shared" si="20"/>
        <v>5.951168173114738</v>
      </c>
      <c r="L99" s="3">
        <f t="shared" si="21"/>
        <v>6.298141256456181</v>
      </c>
      <c r="M99" s="3">
        <f t="shared" si="22"/>
        <v>-206.45966292128136</v>
      </c>
      <c r="N99" s="3">
        <f t="shared" si="18"/>
        <v>0.8023989958581076</v>
      </c>
      <c r="O99" s="3">
        <f t="shared" si="23"/>
        <v>206.46122216464204</v>
      </c>
    </row>
    <row r="100" spans="1:15" ht="12.75">
      <c r="A100"/>
      <c r="B100"/>
      <c r="C100"/>
      <c r="D100"/>
      <c r="E100" s="3">
        <v>96</v>
      </c>
      <c r="F100" s="3">
        <f t="shared" si="16"/>
        <v>691830.970918936</v>
      </c>
      <c r="G100" s="3">
        <f t="shared" si="15"/>
        <v>-31.025307865578554</v>
      </c>
      <c r="H100" s="3">
        <f t="shared" si="17"/>
        <v>19.172146296835496</v>
      </c>
      <c r="J100" s="3">
        <f t="shared" si="19"/>
        <v>-2.4812137434797314</v>
      </c>
      <c r="K100" s="3">
        <f t="shared" si="20"/>
        <v>6.525326143401578</v>
      </c>
      <c r="L100" s="3">
        <f t="shared" si="21"/>
        <v>6.981139084604519</v>
      </c>
      <c r="M100" s="3">
        <f t="shared" si="22"/>
        <v>-248.42137434797309</v>
      </c>
      <c r="N100" s="3">
        <f t="shared" si="18"/>
        <v>0.8798130035656003</v>
      </c>
      <c r="O100" s="3">
        <f t="shared" si="23"/>
        <v>248.4229323227971</v>
      </c>
    </row>
    <row r="101" spans="1:15" ht="12.75">
      <c r="A101"/>
      <c r="B101"/>
      <c r="C101"/>
      <c r="D101"/>
      <c r="E101" s="3">
        <v>97</v>
      </c>
      <c r="F101" s="3">
        <f t="shared" si="16"/>
        <v>758577.575029183</v>
      </c>
      <c r="G101" s="3">
        <f t="shared" si="15"/>
        <v>-31.720475293731564</v>
      </c>
      <c r="H101" s="3">
        <f t="shared" si="17"/>
        <v>19.172146296835496</v>
      </c>
      <c r="J101" s="3">
        <f t="shared" si="19"/>
        <v>-2.9857044761196385</v>
      </c>
      <c r="K101" s="3">
        <f t="shared" si="20"/>
        <v>7.1548778389629275</v>
      </c>
      <c r="L101" s="3">
        <f t="shared" si="21"/>
        <v>7.7528516114526305</v>
      </c>
      <c r="M101" s="3">
        <f t="shared" si="22"/>
        <v>-298.87044761196387</v>
      </c>
      <c r="N101" s="3">
        <f t="shared" si="18"/>
        <v>0.9646957750929268</v>
      </c>
      <c r="O101" s="3">
        <f t="shared" si="23"/>
        <v>298.87200453323516</v>
      </c>
    </row>
    <row r="102" spans="1:15" ht="12.75">
      <c r="A102"/>
      <c r="B102"/>
      <c r="C102"/>
      <c r="D102"/>
      <c r="E102" s="3">
        <v>98</v>
      </c>
      <c r="F102" s="3">
        <f t="shared" si="16"/>
        <v>831763.7711026698</v>
      </c>
      <c r="G102" s="3">
        <f t="shared" si="15"/>
        <v>-32.39589068885871</v>
      </c>
      <c r="H102" s="3">
        <f t="shared" si="17"/>
        <v>19.172146296835496</v>
      </c>
      <c r="J102" s="3">
        <f t="shared" si="19"/>
        <v>-3.5922357415666792</v>
      </c>
      <c r="K102" s="3">
        <f t="shared" si="20"/>
        <v>7.8451675464909165</v>
      </c>
      <c r="L102" s="3">
        <f t="shared" si="21"/>
        <v>8.628488364453151</v>
      </c>
      <c r="M102" s="3">
        <f t="shared" si="22"/>
        <v>-359.5235741566679</v>
      </c>
      <c r="N102" s="3">
        <f t="shared" si="18"/>
        <v>1.0577678833008437</v>
      </c>
      <c r="O102" s="3">
        <f t="shared" si="23"/>
        <v>359.5251302027162</v>
      </c>
    </row>
    <row r="103" spans="1:15" ht="12.75">
      <c r="A103"/>
      <c r="B103"/>
      <c r="C103"/>
      <c r="D103"/>
      <c r="E103" s="3">
        <v>99</v>
      </c>
      <c r="F103" s="3">
        <f t="shared" si="16"/>
        <v>912010.8393559096</v>
      </c>
      <c r="G103" s="3">
        <f t="shared" si="15"/>
        <v>-33.04923867001246</v>
      </c>
      <c r="H103" s="3">
        <f t="shared" si="17"/>
        <v>19.172146296835496</v>
      </c>
      <c r="J103" s="3">
        <f t="shared" si="19"/>
        <v>-4.321446710497165</v>
      </c>
      <c r="K103" s="3">
        <f t="shared" si="20"/>
        <v>8.602055159817429</v>
      </c>
      <c r="L103" s="3">
        <f t="shared" si="21"/>
        <v>9.626539079243818</v>
      </c>
      <c r="M103" s="3">
        <f t="shared" si="22"/>
        <v>-432.44467104971653</v>
      </c>
      <c r="N103" s="3">
        <f t="shared" si="18"/>
        <v>1.1598194206199057</v>
      </c>
      <c r="O103" s="3">
        <f t="shared" si="23"/>
        <v>432.4462263685347</v>
      </c>
    </row>
    <row r="104" spans="1:15" ht="12.75">
      <c r="A104"/>
      <c r="B104"/>
      <c r="C104"/>
      <c r="D104"/>
      <c r="E104" s="3">
        <v>100</v>
      </c>
      <c r="F104" s="3">
        <f t="shared" si="16"/>
        <v>999999.9999999978</v>
      </c>
      <c r="G104" s="3">
        <f t="shared" si="15"/>
        <v>-33.67808116378127</v>
      </c>
      <c r="H104" s="3">
        <f t="shared" si="17"/>
        <v>19.172146296835496</v>
      </c>
      <c r="J104" s="3">
        <f t="shared" si="19"/>
        <v>-5.198151123775158</v>
      </c>
      <c r="K104" s="3">
        <f t="shared" si="20"/>
        <v>9.431965924760773</v>
      </c>
      <c r="L104" s="3">
        <f t="shared" si="21"/>
        <v>10.769529066373018</v>
      </c>
      <c r="M104" s="3">
        <f t="shared" si="22"/>
        <v>-520.1151123775157</v>
      </c>
      <c r="N104" s="3">
        <f t="shared" si="18"/>
        <v>1.2717167061731454</v>
      </c>
      <c r="O104" s="3">
        <f t="shared" si="23"/>
        <v>520.1166670919675</v>
      </c>
    </row>
    <row r="105" spans="1:5" ht="12.75">
      <c r="A105"/>
      <c r="B105"/>
      <c r="C105"/>
      <c r="D105"/>
      <c r="E105"/>
    </row>
    <row r="106" spans="1:5" ht="12.75">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5" ht="12.75">
      <c r="A111"/>
      <c r="B111"/>
      <c r="C111"/>
      <c r="D111"/>
      <c r="E111"/>
    </row>
    <row r="112" spans="1:5" ht="12.75">
      <c r="A112"/>
      <c r="B112"/>
      <c r="C112"/>
      <c r="D112"/>
      <c r="E112"/>
    </row>
    <row r="113" spans="1:5" ht="12.75">
      <c r="A113"/>
      <c r="B113"/>
      <c r="C113"/>
      <c r="D113"/>
      <c r="E113"/>
    </row>
    <row r="114" spans="1:5" ht="12.75">
      <c r="A114"/>
      <c r="B114"/>
      <c r="C114"/>
      <c r="D114"/>
      <c r="E114"/>
    </row>
    <row r="115" spans="1:5" ht="12.75">
      <c r="A115"/>
      <c r="B115"/>
      <c r="C115"/>
      <c r="D115"/>
      <c r="E115"/>
    </row>
    <row r="116" spans="1:5" ht="12.75">
      <c r="A116"/>
      <c r="B116"/>
      <c r="C116"/>
      <c r="D116"/>
      <c r="E116"/>
    </row>
    <row r="117" spans="1:5" ht="12.75">
      <c r="A117"/>
      <c r="B117"/>
      <c r="C117"/>
      <c r="D117"/>
      <c r="E117"/>
    </row>
    <row r="118" spans="1:5" ht="12.75">
      <c r="A118"/>
      <c r="B118"/>
      <c r="C118"/>
      <c r="D118"/>
      <c r="E118"/>
    </row>
    <row r="119" spans="1:5" ht="12.75">
      <c r="A119"/>
      <c r="B119"/>
      <c r="C119"/>
      <c r="D119"/>
      <c r="E119"/>
    </row>
    <row r="120" spans="1:5" ht="12.75">
      <c r="A120"/>
      <c r="B120"/>
      <c r="C120"/>
      <c r="D120"/>
      <c r="E120"/>
    </row>
    <row r="121" spans="1:5" ht="12.75">
      <c r="A121"/>
      <c r="B121"/>
      <c r="C121"/>
      <c r="D121"/>
      <c r="E121"/>
    </row>
    <row r="122" spans="1:5" ht="12.75">
      <c r="A122"/>
      <c r="B122"/>
      <c r="C122"/>
      <c r="D122"/>
      <c r="E122"/>
    </row>
    <row r="123" spans="1:5" ht="12.75">
      <c r="A123"/>
      <c r="B123"/>
      <c r="C123"/>
      <c r="D123"/>
      <c r="E123"/>
    </row>
    <row r="124" spans="1:5" ht="12.75">
      <c r="A124"/>
      <c r="B124"/>
      <c r="C124"/>
      <c r="D124"/>
      <c r="E124"/>
    </row>
    <row r="125" spans="1:5" ht="12.75">
      <c r="A125"/>
      <c r="B125"/>
      <c r="C125"/>
      <c r="D125"/>
      <c r="E125"/>
    </row>
    <row r="126" spans="1:5" ht="12.75">
      <c r="A126"/>
      <c r="B126"/>
      <c r="C126"/>
      <c r="D126"/>
      <c r="E126"/>
    </row>
    <row r="127" spans="1:5" ht="12.75">
      <c r="A127"/>
      <c r="B127"/>
      <c r="C127"/>
      <c r="D127"/>
      <c r="E127"/>
    </row>
    <row r="128" spans="1:5" ht="12.75">
      <c r="A128"/>
      <c r="B128"/>
      <c r="C128"/>
      <c r="D128"/>
      <c r="E128"/>
    </row>
    <row r="129" spans="1:5" ht="12.75">
      <c r="A129"/>
      <c r="B129"/>
      <c r="C129"/>
      <c r="D129"/>
      <c r="E129"/>
    </row>
    <row r="130" spans="1:5" ht="12.75">
      <c r="A130"/>
      <c r="B130"/>
      <c r="C130"/>
      <c r="D130"/>
      <c r="E130"/>
    </row>
    <row r="131" spans="1:5" ht="12.75">
      <c r="A131"/>
      <c r="B131"/>
      <c r="C131"/>
      <c r="D131"/>
      <c r="E131"/>
    </row>
    <row r="132" spans="1:5" ht="12.75">
      <c r="A132"/>
      <c r="B132"/>
      <c r="C132"/>
      <c r="D132"/>
      <c r="E132"/>
    </row>
    <row r="133" spans="1:5" ht="12.75">
      <c r="A133"/>
      <c r="B133"/>
      <c r="C133"/>
      <c r="D133"/>
      <c r="E133"/>
    </row>
    <row r="134" spans="1:5" ht="12.75">
      <c r="A134"/>
      <c r="B134"/>
      <c r="C134"/>
      <c r="D134"/>
      <c r="E134"/>
    </row>
    <row r="135" spans="1:5" ht="12.75">
      <c r="A135"/>
      <c r="B135"/>
      <c r="C135"/>
      <c r="D135"/>
      <c r="E135"/>
    </row>
    <row r="136" spans="1:5" ht="12.75">
      <c r="A136"/>
      <c r="B136"/>
      <c r="C136"/>
      <c r="D136"/>
      <c r="E136"/>
    </row>
    <row r="137" spans="1:5" ht="12.75">
      <c r="A137"/>
      <c r="B137"/>
      <c r="C137"/>
      <c r="D137"/>
      <c r="E137"/>
    </row>
    <row r="138" spans="1:5" ht="12.75">
      <c r="A138"/>
      <c r="B138"/>
      <c r="C138"/>
      <c r="D138"/>
      <c r="E138"/>
    </row>
    <row r="139" spans="1:5" ht="12.75">
      <c r="A139"/>
      <c r="B139"/>
      <c r="C139"/>
      <c r="D139"/>
      <c r="E139"/>
    </row>
    <row r="140" spans="1:5" ht="12.75">
      <c r="A140"/>
      <c r="B140"/>
      <c r="C140"/>
      <c r="D140"/>
      <c r="E140"/>
    </row>
    <row r="141" spans="1:5" ht="12.75">
      <c r="A141"/>
      <c r="B141"/>
      <c r="C141"/>
      <c r="D141"/>
      <c r="E141"/>
    </row>
    <row r="142" spans="1:5" ht="12.75">
      <c r="A142"/>
      <c r="B142"/>
      <c r="C142"/>
      <c r="D142"/>
      <c r="E142"/>
    </row>
    <row r="143" spans="1:5" ht="12.75">
      <c r="A143"/>
      <c r="B143"/>
      <c r="C143"/>
      <c r="D143"/>
      <c r="E143"/>
    </row>
    <row r="144" spans="1:5" ht="12.75">
      <c r="A144"/>
      <c r="B144"/>
      <c r="C144"/>
      <c r="D144"/>
      <c r="E144"/>
    </row>
    <row r="145" spans="1:5" ht="12.75">
      <c r="A145"/>
      <c r="B145"/>
      <c r="C145"/>
      <c r="D145"/>
      <c r="E145"/>
    </row>
    <row r="146" spans="1:5" ht="12.75">
      <c r="A146"/>
      <c r="B146"/>
      <c r="C146"/>
      <c r="D146"/>
      <c r="E146"/>
    </row>
    <row r="147" spans="1:5" ht="12.75">
      <c r="A147"/>
      <c r="B147"/>
      <c r="C147"/>
      <c r="D147"/>
      <c r="E147"/>
    </row>
    <row r="148" spans="1:5" ht="12.75">
      <c r="A148"/>
      <c r="B148"/>
      <c r="C148"/>
      <c r="D148"/>
      <c r="E148"/>
    </row>
    <row r="149" spans="1:5" ht="12.75">
      <c r="A149"/>
      <c r="B149"/>
      <c r="C149"/>
      <c r="D149"/>
      <c r="E149"/>
    </row>
    <row r="150" spans="1:5" ht="12.75">
      <c r="A150"/>
      <c r="B150"/>
      <c r="C150"/>
      <c r="D150"/>
      <c r="E150"/>
    </row>
    <row r="151" spans="1:5" ht="12.75">
      <c r="A151"/>
      <c r="B151"/>
      <c r="C151"/>
      <c r="D151"/>
      <c r="E151"/>
    </row>
    <row r="152" spans="1:5" ht="12.75">
      <c r="A152"/>
      <c r="B152"/>
      <c r="C152"/>
      <c r="D152"/>
      <c r="E152"/>
    </row>
    <row r="153" spans="1:5" ht="12.75">
      <c r="A153"/>
      <c r="B153"/>
      <c r="C153"/>
      <c r="D153"/>
      <c r="E153"/>
    </row>
    <row r="154" spans="1:5" ht="12.75">
      <c r="A154"/>
      <c r="B154"/>
      <c r="C154"/>
      <c r="D154"/>
      <c r="E154"/>
    </row>
    <row r="155" spans="1:5" ht="12.75">
      <c r="A155"/>
      <c r="B155"/>
      <c r="C155"/>
      <c r="D155"/>
      <c r="E155"/>
    </row>
    <row r="156" spans="1:5" ht="12.75">
      <c r="A156"/>
      <c r="B156"/>
      <c r="C156"/>
      <c r="D156"/>
      <c r="E156"/>
    </row>
    <row r="157" spans="1:5" ht="12.75">
      <c r="A157"/>
      <c r="B157"/>
      <c r="C157"/>
      <c r="D157"/>
      <c r="E157"/>
    </row>
    <row r="158" spans="1:5" ht="12.75">
      <c r="A158"/>
      <c r="B158"/>
      <c r="C158"/>
      <c r="D158"/>
      <c r="E158"/>
    </row>
    <row r="159" spans="1:5" ht="12.75">
      <c r="A159"/>
      <c r="B159"/>
      <c r="C159"/>
      <c r="D159"/>
      <c r="E159"/>
    </row>
    <row r="160" spans="1:5" ht="12.75">
      <c r="A160"/>
      <c r="B160"/>
      <c r="C160"/>
      <c r="D160"/>
      <c r="E160"/>
    </row>
    <row r="161" spans="1:5" ht="12.75">
      <c r="A161"/>
      <c r="B161"/>
      <c r="C161"/>
      <c r="D161"/>
      <c r="E161"/>
    </row>
    <row r="162" spans="1:5" ht="12.75">
      <c r="A162"/>
      <c r="B162"/>
      <c r="C162"/>
      <c r="D162"/>
      <c r="E162"/>
    </row>
    <row r="163" spans="1:5" ht="12.75">
      <c r="A163"/>
      <c r="B163"/>
      <c r="C163"/>
      <c r="D163"/>
      <c r="E163"/>
    </row>
    <row r="164" spans="1:5" ht="12.75">
      <c r="A164"/>
      <c r="B164"/>
      <c r="C164"/>
      <c r="D164"/>
      <c r="E164"/>
    </row>
    <row r="165" spans="1:5" ht="12.75">
      <c r="A165"/>
      <c r="B165"/>
      <c r="C165"/>
      <c r="D165"/>
      <c r="E165"/>
    </row>
  </sheetData>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41">
    <pageSetUpPr fitToPage="1"/>
  </sheetPr>
  <dimension ref="A1:N51"/>
  <sheetViews>
    <sheetView showGridLines="0" workbookViewId="0" topLeftCell="A1">
      <selection activeCell="I6" sqref="I6"/>
    </sheetView>
  </sheetViews>
  <sheetFormatPr defaultColWidth="9.140625" defaultRowHeight="12.75"/>
  <cols>
    <col min="1" max="1" width="12.00390625" style="6" bestFit="1" customWidth="1"/>
    <col min="2" max="2" width="15.8515625" style="6" bestFit="1" customWidth="1"/>
    <col min="3" max="3" width="18.7109375" style="6" customWidth="1"/>
    <col min="4" max="4" width="12.57421875" style="6" bestFit="1" customWidth="1"/>
    <col min="5" max="5" width="14.28125" style="38" bestFit="1" customWidth="1"/>
    <col min="6" max="6" width="14.00390625" style="6" bestFit="1" customWidth="1"/>
    <col min="7" max="7" width="12.00390625" style="6" bestFit="1" customWidth="1"/>
    <col min="8" max="8" width="12.57421875" style="6" bestFit="1" customWidth="1"/>
    <col min="9" max="11" width="7.7109375" style="6" customWidth="1"/>
    <col min="12" max="12" width="4.57421875" style="6" bestFit="1" customWidth="1"/>
    <col min="13" max="13" width="2.57421875" style="6" customWidth="1"/>
    <col min="14" max="14" width="22.7109375" style="6" customWidth="1"/>
    <col min="15" max="15" width="11.57421875" style="6" bestFit="1" customWidth="1"/>
    <col min="16" max="16384" width="9.140625" style="6" customWidth="1"/>
  </cols>
  <sheetData>
    <row r="1" spans="1:14" s="37" customFormat="1" ht="25.5">
      <c r="A1" s="26" t="s">
        <v>20</v>
      </c>
      <c r="B1" s="26" t="s">
        <v>25</v>
      </c>
      <c r="C1" s="26" t="s">
        <v>24</v>
      </c>
      <c r="D1" s="26" t="s">
        <v>23</v>
      </c>
      <c r="E1" s="26" t="s">
        <v>19</v>
      </c>
      <c r="F1" s="26" t="s">
        <v>21</v>
      </c>
      <c r="G1" s="26" t="s">
        <v>22</v>
      </c>
      <c r="H1" s="36"/>
      <c r="I1" s="36"/>
      <c r="J1" s="36"/>
      <c r="K1" s="36"/>
      <c r="L1" s="36"/>
      <c r="M1" s="36"/>
      <c r="N1" s="36"/>
    </row>
    <row r="2" spans="1:7" s="1" customFormat="1" ht="12.75">
      <c r="A2" s="1">
        <v>10</v>
      </c>
      <c r="B2" s="1">
        <v>20.602833736813597</v>
      </c>
      <c r="C2" s="1">
        <v>24.699607590452164</v>
      </c>
      <c r="D2" s="1">
        <v>45.30244132726576</v>
      </c>
      <c r="E2" s="38">
        <v>-0.03727793366245234</v>
      </c>
      <c r="F2" s="1">
        <v>91.24636270193324</v>
      </c>
      <c r="G2" s="1">
        <v>91.20908476827078</v>
      </c>
    </row>
    <row r="3" spans="1:7" s="1" customFormat="1" ht="12.75">
      <c r="A3" s="1">
        <v>12.067926406393283</v>
      </c>
      <c r="B3" s="1">
        <v>20.60284604437293</v>
      </c>
      <c r="C3" s="1">
        <v>23.067810253478275</v>
      </c>
      <c r="D3" s="1">
        <v>43.67065629785121</v>
      </c>
      <c r="E3" s="38">
        <v>-0.04498678208067555</v>
      </c>
      <c r="F3" s="1">
        <v>91.50400728474337</v>
      </c>
      <c r="G3" s="1">
        <v>91.4590205026627</v>
      </c>
    </row>
    <row r="4" spans="1:7" s="1" customFormat="1" ht="12.75">
      <c r="A4" s="1">
        <v>14.563484775012428</v>
      </c>
      <c r="B4" s="1">
        <v>20.602863968497704</v>
      </c>
      <c r="C4" s="1">
        <v>21.436403124899233</v>
      </c>
      <c r="D4" s="1">
        <v>42.03926709339694</v>
      </c>
      <c r="E4" s="38">
        <v>-0.05428979852489216</v>
      </c>
      <c r="F4" s="1">
        <v>91.81485967402482</v>
      </c>
      <c r="G4" s="1">
        <v>91.76056987549993</v>
      </c>
    </row>
    <row r="5" spans="1:7" s="1" customFormat="1" ht="12.75">
      <c r="A5" s="1">
        <v>17.57510624854791</v>
      </c>
      <c r="B5" s="1">
        <v>20.60289007233206</v>
      </c>
      <c r="C5" s="1">
        <v>19.80556393974632</v>
      </c>
      <c r="D5" s="1">
        <v>40.40845401207838</v>
      </c>
      <c r="E5" s="38">
        <v>-0.0655166716523953</v>
      </c>
      <c r="F5" s="1">
        <v>92.18986899455474</v>
      </c>
      <c r="G5" s="1">
        <v>92.12435232290235</v>
      </c>
    </row>
    <row r="6" spans="1:7" s="1" customFormat="1" ht="12.75">
      <c r="A6" s="1">
        <v>21.209508879201906</v>
      </c>
      <c r="B6" s="1">
        <v>20.60292808874409</v>
      </c>
      <c r="C6" s="1">
        <v>18.17555116634516</v>
      </c>
      <c r="D6" s="1">
        <v>38.77847925508925</v>
      </c>
      <c r="E6" s="38">
        <v>-0.0790652873389674</v>
      </c>
      <c r="F6" s="1">
        <v>92.64220788759857</v>
      </c>
      <c r="G6" s="1">
        <v>92.56314260025961</v>
      </c>
    </row>
    <row r="7" spans="1:7" s="1" customFormat="1" ht="12.75">
      <c r="A7" s="1">
        <v>25.595479226995344</v>
      </c>
      <c r="B7" s="1">
        <v>20.602983454169134</v>
      </c>
      <c r="C7" s="1">
        <v>16.546740429216893</v>
      </c>
      <c r="D7" s="1">
        <v>37.14972388338603</v>
      </c>
      <c r="E7" s="38">
        <v>-0.0954158465361289</v>
      </c>
      <c r="F7" s="1">
        <v>93.18770168122042</v>
      </c>
      <c r="G7" s="1">
        <v>93.09228583468429</v>
      </c>
    </row>
    <row r="8" spans="1:7" s="1" customFormat="1" ht="12.75">
      <c r="A8" s="1">
        <v>30.888435964774786</v>
      </c>
      <c r="B8" s="1">
        <v>20.603064086118177</v>
      </c>
      <c r="C8" s="1">
        <v>14.919677086592596</v>
      </c>
      <c r="D8" s="1">
        <v>35.522741172710774</v>
      </c>
      <c r="E8" s="38">
        <v>-0.11514791409376712</v>
      </c>
      <c r="F8" s="1">
        <v>93.84532338221325</v>
      </c>
      <c r="G8" s="1">
        <v>93.73017546811948</v>
      </c>
    </row>
    <row r="9" spans="1:7" s="1" customFormat="1" ht="12.75">
      <c r="A9" s="1">
        <v>37.27593720314938</v>
      </c>
      <c r="B9" s="1">
        <v>20.603181515599697</v>
      </c>
      <c r="C9" s="1">
        <v>13.295151818417953</v>
      </c>
      <c r="D9" s="1">
        <v>33.89833333401765</v>
      </c>
      <c r="E9" s="38">
        <v>-0.1389610133614572</v>
      </c>
      <c r="F9" s="1">
        <v>94.63775116530604</v>
      </c>
      <c r="G9" s="1">
        <v>94.49879015194459</v>
      </c>
    </row>
    <row r="10" spans="1:7" s="1" customFormat="1" ht="12.75">
      <c r="A10" s="1">
        <v>44.98432668969444</v>
      </c>
      <c r="B10" s="1">
        <v>20.60335253653005</v>
      </c>
      <c r="C10" s="1">
        <v>11.674308645416685</v>
      </c>
      <c r="D10" s="1">
        <v>32.27766118194673</v>
      </c>
      <c r="E10" s="38">
        <v>-0.16769951512356635</v>
      </c>
      <c r="F10" s="1">
        <v>95.59197218124065</v>
      </c>
      <c r="G10" s="1">
        <v>95.42427266611708</v>
      </c>
    </row>
    <row r="11" spans="1:7" s="1" customFormat="1" ht="12.75">
      <c r="A11" s="1">
        <v>54.28675439323857</v>
      </c>
      <c r="B11" s="1">
        <v>20.60360160829381</v>
      </c>
      <c r="C11" s="1">
        <v>10.058797932753587</v>
      </c>
      <c r="D11" s="1">
        <v>30.6623995410474</v>
      </c>
      <c r="E11" s="38">
        <v>-0.20238273582992172</v>
      </c>
      <c r="F11" s="1">
        <v>96.7398927788404</v>
      </c>
      <c r="G11" s="1">
        <v>96.53751004301047</v>
      </c>
    </row>
    <row r="12" spans="1:7" s="1" customFormat="1" ht="12.75">
      <c r="A12" s="1">
        <v>65.51285568595506</v>
      </c>
      <c r="B12" s="1">
        <v>20.60396435565132</v>
      </c>
      <c r="C12" s="1">
        <v>8.450990278023278</v>
      </c>
      <c r="D12" s="1">
        <v>29.054954633674598</v>
      </c>
      <c r="E12" s="38">
        <v>-0.24424136971383337</v>
      </c>
      <c r="F12" s="1">
        <v>98.1188736472482</v>
      </c>
      <c r="G12" s="1">
        <v>97.87463227753436</v>
      </c>
    </row>
    <row r="13" spans="1:7" s="1" customFormat="1" ht="12.75">
      <c r="A13" s="1">
        <v>79.06043210907694</v>
      </c>
      <c r="B13" s="1">
        <v>20.604492667822498</v>
      </c>
      <c r="C13" s="1">
        <v>6.854269655621237</v>
      </c>
      <c r="D13" s="1">
        <v>27.458762323443736</v>
      </c>
      <c r="E13" s="38">
        <v>-0.29476164788102754</v>
      </c>
      <c r="F13" s="1">
        <v>99.7720390013174</v>
      </c>
      <c r="G13" s="1">
        <v>99.47727735343636</v>
      </c>
    </row>
    <row r="14" spans="1:7" s="1" customFormat="1" ht="12.75">
      <c r="A14" s="1">
        <v>95.40954763499934</v>
      </c>
      <c r="B14" s="1">
        <v>20.605262128770736</v>
      </c>
      <c r="C14" s="1">
        <v>5.273423218725482</v>
      </c>
      <c r="D14" s="1">
        <v>25.87868534749622</v>
      </c>
      <c r="E14" s="38">
        <v>-0.3557389687938179</v>
      </c>
      <c r="F14" s="1">
        <v>101.74809987058356</v>
      </c>
      <c r="G14" s="1">
        <v>101.39236090178974</v>
      </c>
    </row>
    <row r="15" spans="1:7" s="1" customFormat="1" ht="12.75">
      <c r="A15" s="1">
        <v>115.13953993264457</v>
      </c>
      <c r="B15" s="1">
        <v>20.606382847284056</v>
      </c>
      <c r="C15" s="1">
        <v>3.715135520481603</v>
      </c>
      <c r="D15" s="1">
        <v>24.32151836776566</v>
      </c>
      <c r="E15" s="38">
        <v>-0.4293432167633483</v>
      </c>
      <c r="F15" s="1">
        <v>104.10027434269229</v>
      </c>
      <c r="G15" s="1">
        <v>103.67093112592894</v>
      </c>
    </row>
    <row r="16" spans="1:7" s="1" customFormat="1" ht="12.75">
      <c r="A16" s="1">
        <v>138.9495494373136</v>
      </c>
      <c r="B16" s="1">
        <v>20.608015248444474</v>
      </c>
      <c r="C16" s="1">
        <v>2.188567408206122</v>
      </c>
      <c r="D16" s="1">
        <v>22.796582656650596</v>
      </c>
      <c r="E16" s="38">
        <v>-0.5181986400212967</v>
      </c>
      <c r="F16" s="1">
        <v>106.88369283885154</v>
      </c>
      <c r="G16" s="1">
        <v>106.36549419883025</v>
      </c>
    </row>
    <row r="17" spans="1:7" s="1" customFormat="1" ht="12.75">
      <c r="A17" s="1">
        <v>167.68329368110065</v>
      </c>
      <c r="B17" s="1">
        <v>20.610393112051405</v>
      </c>
      <c r="C17" s="1">
        <v>0.7059413155668137</v>
      </c>
      <c r="D17" s="1">
        <v>21.31633442761822</v>
      </c>
      <c r="E17" s="38">
        <v>-0.6254821010402164</v>
      </c>
      <c r="F17" s="1">
        <v>110.15050818649169</v>
      </c>
      <c r="G17" s="1">
        <v>109.52502608545147</v>
      </c>
    </row>
    <row r="18" spans="1:7" s="1" customFormat="1" ht="12.75">
      <c r="A18" s="1">
        <v>202.35896477251555</v>
      </c>
      <c r="B18" s="1">
        <v>20.61385721069307</v>
      </c>
      <c r="C18" s="1">
        <v>-0.7170464772391338</v>
      </c>
      <c r="D18" s="1">
        <v>19.896810733453936</v>
      </c>
      <c r="E18" s="38">
        <v>-0.7550449151379461</v>
      </c>
      <c r="F18" s="1">
        <v>113.94196179898542</v>
      </c>
      <c r="G18" s="1">
        <v>113.18691688384747</v>
      </c>
    </row>
    <row r="19" spans="1:7" s="1" customFormat="1" ht="12.75">
      <c r="A19" s="1">
        <v>244.205309454865</v>
      </c>
      <c r="B19" s="1">
        <v>20.618904481461787</v>
      </c>
      <c r="C19" s="1">
        <v>-2.0613014953768705</v>
      </c>
      <c r="D19" s="1">
        <v>18.557602986084916</v>
      </c>
      <c r="E19" s="38">
        <v>-0.9115656645915722</v>
      </c>
      <c r="F19" s="1">
        <v>118.27721657133077</v>
      </c>
      <c r="G19" s="1">
        <v>117.36565090673919</v>
      </c>
    </row>
    <row r="20" spans="1:7" s="1" customFormat="1" ht="12.75">
      <c r="A20" s="1">
        <v>294.7051702551807</v>
      </c>
      <c r="B20" s="1">
        <v>20.62626002624266</v>
      </c>
      <c r="C20" s="1">
        <v>-3.3053155829483036</v>
      </c>
      <c r="D20" s="1">
        <v>17.32094444329436</v>
      </c>
      <c r="E20" s="38">
        <v>-1.1007448536749043</v>
      </c>
      <c r="F20" s="1">
        <v>123.1402495692029</v>
      </c>
      <c r="G20" s="1">
        <v>122.03950471552798</v>
      </c>
    </row>
    <row r="21" spans="1:7" s="1" customFormat="1" ht="12.75">
      <c r="A21" s="1">
        <v>355.6480306223125</v>
      </c>
      <c r="B21" s="1">
        <v>20.63698279792176</v>
      </c>
      <c r="C21" s="1">
        <v>-4.427409594575341</v>
      </c>
      <c r="D21" s="1">
        <v>16.20957320334642</v>
      </c>
      <c r="E21" s="38">
        <v>-1.329558023572928</v>
      </c>
      <c r="F21" s="1">
        <v>128.46853680714736</v>
      </c>
      <c r="G21" s="1">
        <v>127.13897878357443</v>
      </c>
    </row>
    <row r="22" spans="1:7" s="1" customFormat="1" ht="12.75">
      <c r="A22" s="1">
        <v>429.1934260128774</v>
      </c>
      <c r="B22" s="1">
        <v>20.652621284381983</v>
      </c>
      <c r="C22" s="1">
        <v>-5.409157975951441</v>
      </c>
      <c r="D22" s="1">
        <v>15.243463308430542</v>
      </c>
      <c r="E22" s="38">
        <v>-1.6065937494621099</v>
      </c>
      <c r="F22" s="1">
        <v>134.1495546534993</v>
      </c>
      <c r="G22" s="1">
        <v>132.5429609040372</v>
      </c>
    </row>
    <row r="23" spans="1:7" s="1" customFormat="1" ht="12.75">
      <c r="A23" s="1">
        <v>517.9474679231207</v>
      </c>
      <c r="B23" s="1">
        <v>20.675444020988852</v>
      </c>
      <c r="C23" s="1">
        <v>-6.239159519721707</v>
      </c>
      <c r="D23" s="1">
        <v>14.436284501267146</v>
      </c>
      <c r="E23" s="38">
        <v>-1.9425201270538088</v>
      </c>
      <c r="F23" s="1">
        <v>140.03077459444154</v>
      </c>
      <c r="G23" s="1">
        <v>138.08825446738774</v>
      </c>
    </row>
    <row r="24" spans="1:7" s="1" customFormat="1" ht="12.75">
      <c r="A24" s="1">
        <v>625.0551925273969</v>
      </c>
      <c r="B24" s="1">
        <v>20.708783420231672</v>
      </c>
      <c r="C24" s="1">
        <v>-6.915685159906094</v>
      </c>
      <c r="D24" s="1">
        <v>13.793098260325579</v>
      </c>
      <c r="E24" s="38">
        <v>-2.350754373180526</v>
      </c>
      <c r="F24" s="1">
        <v>145.94382136161948</v>
      </c>
      <c r="G24" s="1">
        <v>143.59306698843895</v>
      </c>
    </row>
    <row r="25" spans="1:7" s="1" customFormat="1" ht="12.75">
      <c r="A25" s="1">
        <v>754.3120063354608</v>
      </c>
      <c r="B25" s="1">
        <v>20.75755405240277</v>
      </c>
      <c r="C25" s="1">
        <v>-7.446913119476933</v>
      </c>
      <c r="D25" s="1">
        <v>13.310640932925839</v>
      </c>
      <c r="E25" s="38">
        <v>-2.848467993590417</v>
      </c>
      <c r="F25" s="1">
        <v>151.73570996712328</v>
      </c>
      <c r="G25" s="1">
        <v>148.88724197353287</v>
      </c>
    </row>
    <row r="26" spans="1:7" s="1" customFormat="1" ht="12.75">
      <c r="A26" s="1">
        <v>910.2981779915208</v>
      </c>
      <c r="B26" s="1">
        <v>20.82904565044376</v>
      </c>
      <c r="C26" s="1">
        <v>-7.84858418022924</v>
      </c>
      <c r="D26" s="1">
        <v>12.98046147021452</v>
      </c>
      <c r="E26" s="38">
        <v>-3.4581720076557247</v>
      </c>
      <c r="F26" s="1">
        <v>157.29558421091508</v>
      </c>
      <c r="G26" s="1">
        <v>153.83741220325936</v>
      </c>
    </row>
    <row r="27" spans="1:7" s="1" customFormat="1" ht="12.75">
      <c r="A27" s="1">
        <v>1098.5411419875572</v>
      </c>
      <c r="B27" s="1">
        <v>20.934162201229118</v>
      </c>
      <c r="C27" s="1">
        <v>-8.140157851531526</v>
      </c>
      <c r="D27" s="1">
        <v>12.794004349697591</v>
      </c>
      <c r="E27" s="38">
        <v>-4.210354276995641</v>
      </c>
      <c r="F27" s="1">
        <v>162.5682902427257</v>
      </c>
      <c r="G27" s="1">
        <v>158.35793596573006</v>
      </c>
    </row>
    <row r="28" spans="1:7" s="1" customFormat="1" ht="12.75">
      <c r="A28" s="1">
        <v>1325.7113655901069</v>
      </c>
      <c r="B28" s="1">
        <v>21.08941525636812</v>
      </c>
      <c r="C28" s="1">
        <v>-8.34096814169659</v>
      </c>
      <c r="D28" s="1">
        <v>12.74844711467153</v>
      </c>
      <c r="E28" s="38">
        <v>-5.148131253952256</v>
      </c>
      <c r="F28" s="1">
        <v>167.55366889421748</v>
      </c>
      <c r="G28" s="1">
        <v>162.40553764026524</v>
      </c>
    </row>
    <row r="29" spans="1:7" s="1" customFormat="1" ht="12.75">
      <c r="A29" s="1">
        <v>1599.8587196060557</v>
      </c>
      <c r="B29" s="1">
        <v>21.32026058154878</v>
      </c>
      <c r="C29" s="1">
        <v>-8.467373850713072</v>
      </c>
      <c r="D29" s="1">
        <v>12.852886730835708</v>
      </c>
      <c r="E29" s="38">
        <v>-6.336013639742555</v>
      </c>
      <c r="F29" s="1">
        <v>172.29637249384302</v>
      </c>
      <c r="G29" s="1">
        <v>165.96035885410046</v>
      </c>
    </row>
    <row r="30" spans="1:11" s="1" customFormat="1" ht="12.75">
      <c r="A30" s="1">
        <v>1930.6977288832477</v>
      </c>
      <c r="B30" s="1">
        <v>21.666989292395385</v>
      </c>
      <c r="C30" s="1">
        <v>-8.53111225819667</v>
      </c>
      <c r="D30" s="1">
        <v>13.135877034198716</v>
      </c>
      <c r="E30" s="38">
        <v>-7.877778551697572</v>
      </c>
      <c r="F30" s="1">
        <v>176.8722240913367</v>
      </c>
      <c r="G30" s="1">
        <v>168.99444553963914</v>
      </c>
      <c r="J30" s="6"/>
      <c r="K30" s="6"/>
    </row>
    <row r="31" spans="1:11" s="1" customFormat="1" ht="12.75">
      <c r="A31" s="1">
        <v>2329.9518105153693</v>
      </c>
      <c r="B31" s="1">
        <v>22.195884633614522</v>
      </c>
      <c r="C31" s="1">
        <v>-8.538558157884145</v>
      </c>
      <c r="D31" s="1">
        <v>13.657326475730377</v>
      </c>
      <c r="E31" s="38">
        <v>-9.956714289617123</v>
      </c>
      <c r="F31" s="1">
        <v>181.37503897805078</v>
      </c>
      <c r="G31" s="1">
        <v>171.41832468843367</v>
      </c>
      <c r="J31" s="6"/>
      <c r="K31" s="6"/>
    </row>
    <row r="32" spans="1:11" s="1" customFormat="1" ht="12.75">
      <c r="A32" s="1">
        <v>2811.768697974228</v>
      </c>
      <c r="B32" s="1">
        <v>23.02233972385679</v>
      </c>
      <c r="C32" s="1">
        <v>-8.490478219068434</v>
      </c>
      <c r="D32" s="1">
        <v>14.531861504788354</v>
      </c>
      <c r="E32" s="38">
        <v>-12.939037942974696</v>
      </c>
      <c r="F32" s="1">
        <v>185.90507517364404</v>
      </c>
      <c r="G32" s="1">
        <v>172.96603723066934</v>
      </c>
      <c r="J32" s="6"/>
      <c r="K32" s="6"/>
    </row>
    <row r="33" spans="1:11" s="1" customFormat="1" ht="12.75">
      <c r="A33" s="1">
        <v>3393.221771895323</v>
      </c>
      <c r="B33" s="1">
        <v>24.364230422492355</v>
      </c>
      <c r="C33" s="1">
        <v>-8.382009682665643</v>
      </c>
      <c r="D33" s="1">
        <v>15.982220739826712</v>
      </c>
      <c r="E33" s="38">
        <v>-17.693743343458657</v>
      </c>
      <c r="F33" s="1">
        <v>190.55838201687442</v>
      </c>
      <c r="G33" s="1">
        <v>172.86463867341575</v>
      </c>
      <c r="J33" s="6"/>
      <c r="K33" s="6"/>
    </row>
    <row r="34" spans="1:9" ht="12.75">
      <c r="A34" s="6">
        <v>4094.915062380419</v>
      </c>
      <c r="B34" s="6">
        <v>26.675085347169073</v>
      </c>
      <c r="C34" s="6">
        <v>-8.202829359237978</v>
      </c>
      <c r="D34" s="6">
        <v>18.472255987931096</v>
      </c>
      <c r="E34" s="38">
        <v>-26.895064841050072</v>
      </c>
      <c r="F34" s="1">
        <v>195.41559539471695</v>
      </c>
      <c r="G34" s="6">
        <v>168.52053055366687</v>
      </c>
      <c r="H34" s="1"/>
      <c r="I34" s="1"/>
    </row>
    <row r="35" spans="1:9" ht="12.75">
      <c r="A35" s="6">
        <v>4941.713361323828</v>
      </c>
      <c r="B35" s="6">
        <v>30.71832194895858</v>
      </c>
      <c r="C35" s="6">
        <v>-7.937725168247973</v>
      </c>
      <c r="D35" s="6">
        <v>22.780596780710606</v>
      </c>
      <c r="E35" s="38">
        <v>-52.76319730817978</v>
      </c>
      <c r="F35" s="1">
        <v>200.52913918615707</v>
      </c>
      <c r="G35" s="6">
        <v>147.7659418779773</v>
      </c>
      <c r="H35" s="1"/>
      <c r="I35" s="1"/>
    </row>
    <row r="36" spans="1:9" ht="12.75">
      <c r="A36" s="6">
        <v>5963.623316594637</v>
      </c>
      <c r="B36" s="6">
        <v>30.578170541457187</v>
      </c>
      <c r="C36" s="6">
        <v>-7.56796019365138</v>
      </c>
      <c r="D36" s="6">
        <v>23.010210347805806</v>
      </c>
      <c r="E36" s="38">
        <v>-125.06130802750214</v>
      </c>
      <c r="F36" s="1">
        <v>205.9093735917109</v>
      </c>
      <c r="G36" s="6">
        <v>80.84806556420877</v>
      </c>
      <c r="I36" s="1"/>
    </row>
    <row r="37" spans="1:9" ht="12.75">
      <c r="A37" s="6">
        <v>7196.856730011514</v>
      </c>
      <c r="B37" s="6">
        <v>22.952501774968077</v>
      </c>
      <c r="C37" s="6">
        <v>-7.073792859332263</v>
      </c>
      <c r="D37" s="6">
        <v>15.878708915635814</v>
      </c>
      <c r="E37" s="38">
        <v>-161.46226054847546</v>
      </c>
      <c r="F37" s="1">
        <v>211.51283866897077</v>
      </c>
      <c r="G37" s="6">
        <v>50.05057812049532</v>
      </c>
      <c r="I37" s="1"/>
    </row>
    <row r="38" spans="1:9" ht="12.75">
      <c r="A38" s="6">
        <v>8685.113737513511</v>
      </c>
      <c r="B38" s="6">
        <v>16.94932771924425</v>
      </c>
      <c r="C38" s="6">
        <v>-6.43812165088477</v>
      </c>
      <c r="D38" s="6">
        <v>10.511206068359478</v>
      </c>
      <c r="E38" s="38">
        <v>-173.64503140341674</v>
      </c>
      <c r="F38" s="1">
        <v>217.2382501472668</v>
      </c>
      <c r="G38" s="6">
        <v>43.59321874385006</v>
      </c>
      <c r="I38" s="1"/>
    </row>
    <row r="39" spans="1:9" ht="12.75">
      <c r="A39" s="6">
        <v>10481.13134154683</v>
      </c>
      <c r="B39" s="6">
        <v>12.077595060257762</v>
      </c>
      <c r="C39" s="6">
        <v>-5.650475048814875</v>
      </c>
      <c r="D39" s="6">
        <v>6.427120011442887</v>
      </c>
      <c r="E39" s="38">
        <v>-180.31469126322548</v>
      </c>
      <c r="F39" s="1">
        <v>222.9358425090271</v>
      </c>
      <c r="G39" s="6">
        <v>42.62115124580163</v>
      </c>
      <c r="I39" s="1"/>
    </row>
    <row r="40" spans="1:9" ht="12.75">
      <c r="A40" s="6">
        <v>12648.552168552933</v>
      </c>
      <c r="B40" s="6">
        <v>7.778444513211013</v>
      </c>
      <c r="C40" s="6">
        <v>-4.709914034450554</v>
      </c>
      <c r="D40" s="6">
        <v>3.068530478760459</v>
      </c>
      <c r="E40" s="38">
        <v>-185.25065620182968</v>
      </c>
      <c r="F40" s="1">
        <v>228.43092023769498</v>
      </c>
      <c r="G40" s="6">
        <v>43.18026403586529</v>
      </c>
      <c r="I40" s="1"/>
    </row>
    <row r="41" spans="1:9" ht="12.75">
      <c r="A41" s="6">
        <v>15264.179671752303</v>
      </c>
      <c r="B41" s="6">
        <v>3.779859647468031</v>
      </c>
      <c r="C41" s="6">
        <v>-3.625549857939337</v>
      </c>
      <c r="D41" s="6">
        <v>0.154309789528694</v>
      </c>
      <c r="E41" s="38">
        <v>-189.58837453308644</v>
      </c>
      <c r="F41" s="1">
        <v>233.5547860156793</v>
      </c>
      <c r="G41" s="6">
        <v>43.96641148259286</v>
      </c>
      <c r="I41" s="1"/>
    </row>
    <row r="42" spans="1:9" ht="12.75">
      <c r="A42" s="6">
        <v>18420.699693267125</v>
      </c>
      <c r="B42" s="6">
        <v>-0.06762456433492081</v>
      </c>
      <c r="C42" s="6">
        <v>-2.414473745523017</v>
      </c>
      <c r="D42" s="6">
        <v>-2.482098309857938</v>
      </c>
      <c r="E42" s="38">
        <v>-193.77914813766276</v>
      </c>
      <c r="F42" s="1">
        <v>238.1715031247953</v>
      </c>
      <c r="G42" s="6">
        <v>44.392354987132535</v>
      </c>
      <c r="I42" s="1"/>
    </row>
    <row r="43" spans="1:9" ht="12.75">
      <c r="A43" s="6">
        <v>22229.96482526191</v>
      </c>
      <c r="B43" s="6">
        <v>-3.8579722208020097</v>
      </c>
      <c r="C43" s="6">
        <v>-1.0981617882059285</v>
      </c>
      <c r="D43" s="6">
        <v>-4.956134009007938</v>
      </c>
      <c r="E43" s="38">
        <v>-198.02029855013143</v>
      </c>
      <c r="F43" s="1">
        <v>242.1915967017694</v>
      </c>
      <c r="G43" s="6">
        <v>44.171298151637984</v>
      </c>
      <c r="I43" s="1"/>
    </row>
    <row r="44" spans="1:9" ht="12.75">
      <c r="A44" s="6">
        <v>26826.95795279722</v>
      </c>
      <c r="B44" s="6">
        <v>-7.656998465533753</v>
      </c>
      <c r="C44" s="6">
        <v>0.30111757361791885</v>
      </c>
      <c r="D44" s="6">
        <v>-7.355880891915834</v>
      </c>
      <c r="E44" s="38">
        <v>-202.3757222330015</v>
      </c>
      <c r="F44" s="1">
        <v>245.5713318957932</v>
      </c>
      <c r="G44" s="6">
        <v>43.195609662791696</v>
      </c>
      <c r="I44" s="1"/>
    </row>
    <row r="45" spans="1:9" ht="12.75">
      <c r="A45" s="6">
        <v>32374.5754281764</v>
      </c>
      <c r="B45" s="6">
        <v>-11.513466321536947</v>
      </c>
      <c r="C45" s="6">
        <v>1.7628392017943946</v>
      </c>
      <c r="D45" s="6">
        <v>-9.750627119742553</v>
      </c>
      <c r="E45" s="38">
        <v>-206.8131642367203</v>
      </c>
      <c r="F45" s="1">
        <v>248.30236998183108</v>
      </c>
      <c r="G45" s="6">
        <v>41.48920574511078</v>
      </c>
      <c r="I45" s="1"/>
    </row>
    <row r="46" spans="1:9" ht="12.75">
      <c r="A46" s="6">
        <v>39069.39937054613</v>
      </c>
      <c r="B46" s="6">
        <v>-15.462459872628198</v>
      </c>
      <c r="C46" s="6">
        <v>3.2694336012538905</v>
      </c>
      <c r="D46" s="6">
        <v>-12.193026271374308</v>
      </c>
      <c r="E46" s="38">
        <v>-211.21983776362066</v>
      </c>
      <c r="F46" s="1">
        <v>250.39812244802005</v>
      </c>
      <c r="G46" s="6">
        <v>39.17828468439939</v>
      </c>
      <c r="I46" s="1"/>
    </row>
    <row r="47" spans="1:9" ht="12.75">
      <c r="A47" s="6">
        <v>47148.663634573895</v>
      </c>
      <c r="B47" s="6">
        <v>-19.52511181255881</v>
      </c>
      <c r="C47" s="6">
        <v>4.806439946654715</v>
      </c>
      <c r="D47" s="6">
        <v>-14.718671865904094</v>
      </c>
      <c r="E47" s="38">
        <v>-215.41984970839266</v>
      </c>
      <c r="F47" s="1">
        <v>251.88127773762784</v>
      </c>
      <c r="G47" s="6">
        <v>36.46142802923518</v>
      </c>
      <c r="I47" s="1"/>
    </row>
    <row r="48" spans="1:9" ht="12.75">
      <c r="A48" s="6">
        <v>56898.660290182816</v>
      </c>
      <c r="B48" s="6">
        <v>-23.70755353453646</v>
      </c>
      <c r="C48" s="6">
        <v>6.362013026184507</v>
      </c>
      <c r="D48" s="6">
        <v>-17.345540508351952</v>
      </c>
      <c r="E48" s="38">
        <v>-219.2016115525732</v>
      </c>
      <c r="F48" s="1">
        <v>252.77443239652712</v>
      </c>
      <c r="G48" s="6">
        <v>33.572820843953906</v>
      </c>
      <c r="I48" s="1"/>
    </row>
    <row r="49" spans="1:9" ht="12.75">
      <c r="A49" s="6">
        <v>68664.88450042985</v>
      </c>
      <c r="B49" s="6">
        <v>-28.001153518044383</v>
      </c>
      <c r="C49" s="6">
        <v>7.9261180354420935</v>
      </c>
      <c r="D49" s="6">
        <v>-20.07503548260229</v>
      </c>
      <c r="E49" s="38">
        <v>-222.35216715676754</v>
      </c>
      <c r="F49" s="1">
        <v>253.09404074877415</v>
      </c>
      <c r="G49" s="6">
        <v>30.741873592006613</v>
      </c>
      <c r="I49" s="1"/>
    </row>
    <row r="50" spans="1:9" ht="12.75">
      <c r="A50" s="6">
        <v>82864.27728546826</v>
      </c>
      <c r="B50" s="6">
        <v>-32.384768192266584</v>
      </c>
      <c r="C50" s="6">
        <v>9.489608610495953</v>
      </c>
      <c r="D50" s="6">
        <v>-22.89515958177063</v>
      </c>
      <c r="E50" s="38">
        <v>-224.68883596843497</v>
      </c>
      <c r="F50" s="1">
        <v>252.8472088413667</v>
      </c>
      <c r="G50" s="6">
        <v>28.15837287293172</v>
      </c>
      <c r="I50" s="1"/>
    </row>
    <row r="51" spans="1:9" ht="12.75">
      <c r="A51" s="6">
        <v>99999.99999999959</v>
      </c>
      <c r="B51" s="6">
        <v>-36.82832005414906</v>
      </c>
      <c r="C51" s="6">
        <v>11.043274471911426</v>
      </c>
      <c r="D51" s="6">
        <v>-25.785045582237636</v>
      </c>
      <c r="E51" s="38">
        <v>-226.08006255816485</v>
      </c>
      <c r="F51" s="1">
        <v>252.03085199606778</v>
      </c>
      <c r="G51" s="6">
        <v>25.950789437902927</v>
      </c>
      <c r="I51" s="1"/>
    </row>
  </sheetData>
  <printOptions/>
  <pageMargins left="0.75" right="0.75" top="1" bottom="1" header="0.5" footer="0.5"/>
  <pageSetup fitToHeight="1" fitToWidth="1" horizontalDpi="600" verticalDpi="600" orientation="landscape" r:id="rId1"/>
  <headerFooter alignWithMargins="0">
    <oddHeader>&amp;C&amp;"Arial,Bold"&amp;12NCP1030 UV/OV Resistor Divider</oddHeader>
    <oddFooter>&amp;L&amp;"Arial,Bold"&amp;12ON Semiconductor&amp;C&amp;"Arial,Bold"&amp;12NCP1030 Flyback Design Spreadsheet&amp;R&amp;"Arial,Bold"&amp;12&amp;D</oddFooter>
  </headerFooter>
</worksheet>
</file>

<file path=xl/worksheets/sheet16.xml><?xml version="1.0" encoding="utf-8"?>
<worksheet xmlns="http://schemas.openxmlformats.org/spreadsheetml/2006/main" xmlns:r="http://schemas.openxmlformats.org/officeDocument/2006/relationships">
  <sheetPr codeName="Sheet12"/>
  <dimension ref="B2:E19"/>
  <sheetViews>
    <sheetView showGridLines="0" workbookViewId="0" topLeftCell="A1">
      <selection activeCell="C16" sqref="C16"/>
    </sheetView>
  </sheetViews>
  <sheetFormatPr defaultColWidth="9.140625" defaultRowHeight="12.75"/>
  <cols>
    <col min="2" max="2" width="9.28125" style="0" bestFit="1" customWidth="1"/>
    <col min="3" max="3" width="68.140625" style="0" customWidth="1"/>
    <col min="4" max="4" width="10.140625" style="0" bestFit="1" customWidth="1"/>
    <col min="5" max="5" width="10.421875" style="0" bestFit="1" customWidth="1"/>
  </cols>
  <sheetData>
    <row r="2" spans="2:5" ht="12.75">
      <c r="B2" s="42" t="s">
        <v>510</v>
      </c>
      <c r="C2" s="201" t="s">
        <v>511</v>
      </c>
      <c r="D2" s="42" t="s">
        <v>513</v>
      </c>
      <c r="E2" s="206" t="s">
        <v>519</v>
      </c>
    </row>
    <row r="3" spans="2:5" ht="12.75">
      <c r="B3" s="202" t="s">
        <v>508</v>
      </c>
      <c r="C3" s="203" t="s">
        <v>512</v>
      </c>
      <c r="D3" s="205">
        <v>38958</v>
      </c>
      <c r="E3" s="202" t="s">
        <v>520</v>
      </c>
    </row>
    <row r="4" spans="2:5" ht="63.75">
      <c r="B4" s="202" t="s">
        <v>509</v>
      </c>
      <c r="C4" s="204" t="s">
        <v>526</v>
      </c>
      <c r="D4" s="205">
        <v>39010</v>
      </c>
      <c r="E4" s="202" t="s">
        <v>520</v>
      </c>
    </row>
    <row r="5" spans="2:5" ht="38.25">
      <c r="B5" s="202" t="s">
        <v>530</v>
      </c>
      <c r="C5" s="204" t="s">
        <v>531</v>
      </c>
      <c r="D5" s="205">
        <v>39022</v>
      </c>
      <c r="E5" s="202" t="s">
        <v>520</v>
      </c>
    </row>
    <row r="6" spans="2:5" ht="12.75">
      <c r="B6" s="202"/>
      <c r="C6" s="203"/>
      <c r="D6" s="202"/>
      <c r="E6" s="202"/>
    </row>
    <row r="7" spans="2:5" ht="12.75">
      <c r="B7" s="202"/>
      <c r="C7" s="203"/>
      <c r="D7" s="202"/>
      <c r="E7" s="202"/>
    </row>
    <row r="8" spans="2:5" ht="12.75">
      <c r="B8" s="202"/>
      <c r="C8" s="203"/>
      <c r="D8" s="202"/>
      <c r="E8" s="202"/>
    </row>
    <row r="9" spans="2:5" ht="12.75">
      <c r="B9" s="202"/>
      <c r="C9" s="203"/>
      <c r="D9" s="202"/>
      <c r="E9" s="202"/>
    </row>
    <row r="10" spans="2:5" ht="12.75">
      <c r="B10" s="202"/>
      <c r="C10" s="203"/>
      <c r="D10" s="202"/>
      <c r="E10" s="202"/>
    </row>
    <row r="11" spans="2:5" ht="12.75">
      <c r="B11" s="202"/>
      <c r="C11" s="203"/>
      <c r="D11" s="202"/>
      <c r="E11" s="202"/>
    </row>
    <row r="12" spans="2:5" ht="12.75">
      <c r="B12" s="202"/>
      <c r="C12" s="203"/>
      <c r="D12" s="202"/>
      <c r="E12" s="202"/>
    </row>
    <row r="13" spans="2:5" ht="12.75">
      <c r="B13" s="202"/>
      <c r="C13" s="203"/>
      <c r="D13" s="202"/>
      <c r="E13" s="202"/>
    </row>
    <row r="14" spans="2:5" ht="12.75">
      <c r="B14" s="202"/>
      <c r="C14" s="203"/>
      <c r="D14" s="202"/>
      <c r="E14" s="202"/>
    </row>
    <row r="15" spans="2:5" ht="12.75">
      <c r="B15" s="202"/>
      <c r="C15" s="203"/>
      <c r="D15" s="202"/>
      <c r="E15" s="202"/>
    </row>
    <row r="16" spans="2:5" ht="12.75">
      <c r="B16" s="202"/>
      <c r="C16" s="203"/>
      <c r="D16" s="202"/>
      <c r="E16" s="202"/>
    </row>
    <row r="17" spans="2:5" ht="12.75">
      <c r="B17" s="202"/>
      <c r="C17" s="203"/>
      <c r="D17" s="202"/>
      <c r="E17" s="202"/>
    </row>
    <row r="18" spans="2:5" ht="12.75">
      <c r="B18" s="202"/>
      <c r="C18" s="203"/>
      <c r="D18" s="202"/>
      <c r="E18" s="202"/>
    </row>
    <row r="19" spans="2:5" ht="12.75">
      <c r="B19" s="202"/>
      <c r="C19" s="203"/>
      <c r="D19" s="202"/>
      <c r="E19" s="202"/>
    </row>
  </sheetData>
  <sheetProtection/>
  <printOptions/>
  <pageMargins left="0.75" right="0.75" top="1" bottom="1" header="0.5" footer="0.5"/>
  <pageSetup horizontalDpi="600" verticalDpi="600" orientation="portrait" paperSize="15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O27"/>
  <sheetViews>
    <sheetView showGridLines="0" workbookViewId="0" topLeftCell="A1">
      <selection activeCell="D4" sqref="D4:H4"/>
    </sheetView>
  </sheetViews>
  <sheetFormatPr defaultColWidth="9.140625" defaultRowHeight="12.75"/>
  <cols>
    <col min="1" max="1" width="22.28125" style="1" bestFit="1" customWidth="1"/>
    <col min="2" max="2" width="7.8515625" style="1" customWidth="1"/>
    <col min="3" max="3" width="4.28125" style="1" bestFit="1" customWidth="1"/>
    <col min="4" max="4" width="3.00390625" style="1" customWidth="1"/>
    <col min="5" max="13" width="9.140625" style="1" customWidth="1"/>
    <col min="14" max="14" width="15.28125" style="1" customWidth="1"/>
    <col min="15" max="16384" width="9.140625" style="1" customWidth="1"/>
  </cols>
  <sheetData>
    <row r="1" spans="1:15" ht="18">
      <c r="A1" s="259" t="s">
        <v>87</v>
      </c>
      <c r="B1" s="259"/>
      <c r="C1" s="259"/>
      <c r="D1" s="259"/>
      <c r="E1" s="259"/>
      <c r="F1" s="259"/>
      <c r="G1" s="259"/>
      <c r="H1" s="259"/>
      <c r="I1" s="259"/>
      <c r="J1" s="259"/>
      <c r="K1" s="259"/>
      <c r="L1" s="259"/>
      <c r="M1" s="259"/>
      <c r="N1" s="259"/>
      <c r="O1" s="50"/>
    </row>
    <row r="2" ht="12.75"/>
    <row r="3" spans="2:8" s="2" customFormat="1" ht="12.75">
      <c r="B3" s="2" t="s">
        <v>3</v>
      </c>
      <c r="D3" s="260" t="s">
        <v>31</v>
      </c>
      <c r="E3" s="260"/>
      <c r="F3" s="260"/>
      <c r="G3" s="260"/>
      <c r="H3" s="260"/>
    </row>
    <row r="4" spans="2:8" s="2" customFormat="1" ht="12.75">
      <c r="B4" s="2" t="s">
        <v>4</v>
      </c>
      <c r="D4" s="260" t="s">
        <v>5</v>
      </c>
      <c r="E4" s="260"/>
      <c r="F4" s="260"/>
      <c r="G4" s="260"/>
      <c r="H4" s="260"/>
    </row>
    <row r="5" ht="12.75"/>
    <row r="6" spans="1:3" ht="12.75">
      <c r="A6" s="258" t="s">
        <v>6</v>
      </c>
      <c r="B6" s="258"/>
      <c r="C6" s="258"/>
    </row>
    <row r="7" spans="1:3" ht="15.75">
      <c r="A7" s="3" t="s">
        <v>43</v>
      </c>
      <c r="B7" s="232">
        <v>76</v>
      </c>
      <c r="C7" s="48" t="s">
        <v>0</v>
      </c>
    </row>
    <row r="8" spans="1:3" ht="15.75">
      <c r="A8" s="3" t="s">
        <v>42</v>
      </c>
      <c r="B8" s="232">
        <v>33</v>
      </c>
      <c r="C8" s="48" t="s">
        <v>0</v>
      </c>
    </row>
    <row r="9" spans="1:3" ht="15.75">
      <c r="A9" s="3" t="s">
        <v>44</v>
      </c>
      <c r="B9" s="220">
        <v>3.3</v>
      </c>
      <c r="C9" s="48" t="s">
        <v>0</v>
      </c>
    </row>
    <row r="10" spans="1:3" ht="15.75">
      <c r="A10" s="3" t="s">
        <v>145</v>
      </c>
      <c r="B10" s="220">
        <v>30</v>
      </c>
      <c r="C10" s="48" t="s">
        <v>2</v>
      </c>
    </row>
    <row r="11" spans="1:3" ht="15.75">
      <c r="A11" s="27" t="s">
        <v>41</v>
      </c>
      <c r="B11" s="232">
        <v>350</v>
      </c>
      <c r="C11" s="27" t="s">
        <v>1</v>
      </c>
    </row>
    <row r="12" spans="1:3" ht="12.75">
      <c r="A12" s="27" t="s">
        <v>83</v>
      </c>
      <c r="B12" s="233">
        <v>0.65</v>
      </c>
      <c r="C12" s="27" t="s">
        <v>89</v>
      </c>
    </row>
    <row r="13" spans="1:3" ht="15.75">
      <c r="A13" s="27" t="s">
        <v>443</v>
      </c>
      <c r="B13" s="221">
        <v>150</v>
      </c>
      <c r="C13" s="27" t="s">
        <v>0</v>
      </c>
    </row>
    <row r="14" spans="1:3" ht="15.75">
      <c r="A14" s="27" t="s">
        <v>58</v>
      </c>
      <c r="B14" s="221">
        <v>52</v>
      </c>
      <c r="C14" s="27" t="s">
        <v>14</v>
      </c>
    </row>
    <row r="15" spans="1:3" ht="15.75">
      <c r="A15" s="27" t="s">
        <v>40</v>
      </c>
      <c r="B15" s="221">
        <v>4</v>
      </c>
      <c r="C15" s="27" t="s">
        <v>14</v>
      </c>
    </row>
    <row r="16" spans="1:3" ht="12.75">
      <c r="A16" s="28" t="s">
        <v>473</v>
      </c>
      <c r="B16" s="211">
        <v>90</v>
      </c>
      <c r="C16" s="3" t="s">
        <v>32</v>
      </c>
    </row>
    <row r="17" spans="1:3" ht="12.75">
      <c r="A17"/>
      <c r="B17"/>
      <c r="C17"/>
    </row>
    <row r="18" spans="1:2" ht="12.75">
      <c r="A18" s="39" t="s">
        <v>59</v>
      </c>
      <c r="B18"/>
    </row>
    <row r="19" spans="1:3" ht="12.75">
      <c r="A19" s="3" t="s">
        <v>441</v>
      </c>
      <c r="B19" s="223">
        <f>Vinmin*DC/Vout1</f>
        <v>6.5</v>
      </c>
      <c r="C19" s="3" t="s">
        <v>89</v>
      </c>
    </row>
    <row r="20" spans="1:3" ht="12.75">
      <c r="A20" s="3" t="s">
        <v>35</v>
      </c>
      <c r="B20" s="208">
        <f>Vinmax/(Vinmax+Vinmin)</f>
        <v>0.6972477064220184</v>
      </c>
      <c r="C20" s="3" t="s">
        <v>89</v>
      </c>
    </row>
    <row r="21" spans="1:3" ht="12.75">
      <c r="A21" s="1" t="s">
        <v>46</v>
      </c>
      <c r="B21" s="214">
        <v>6</v>
      </c>
      <c r="C21" s="3" t="s">
        <v>89</v>
      </c>
    </row>
    <row r="22" spans="1:3" ht="12.75">
      <c r="A22" s="3" t="s">
        <v>462</v>
      </c>
      <c r="B22" s="226">
        <f>(Vout1+Iout1*rectrdson*0.001)/(Vinmax-Iout1/NpNs1*switchrdson*0.001)*NpNs1</f>
        <v>0.27092685503036706</v>
      </c>
      <c r="C22" s="3" t="s">
        <v>89</v>
      </c>
    </row>
    <row r="23" spans="1:3" ht="12.75">
      <c r="A23" s="3" t="s">
        <v>463</v>
      </c>
      <c r="B23" s="226">
        <f>(Vout1+Iout1*rectrdson*0.001)/(Vinmin-Iout1/NpNs1*switchrdson*0.001)*NpNs1</f>
        <v>0.626756261453879</v>
      </c>
      <c r="C23" s="3" t="s">
        <v>89</v>
      </c>
    </row>
    <row r="24" spans="1:3" ht="12.75">
      <c r="A24" s="12" t="s">
        <v>39</v>
      </c>
      <c r="B24" s="208">
        <f>MIN(Data2!E21:E31)</f>
        <v>82.7344462226791</v>
      </c>
      <c r="C24" s="12" t="s">
        <v>30</v>
      </c>
    </row>
    <row r="25" spans="1:3" ht="12.75">
      <c r="A25" s="12" t="s">
        <v>38</v>
      </c>
      <c r="B25" s="208">
        <f>MAX(Data2!E21:E31)</f>
        <v>104.41628199748213</v>
      </c>
      <c r="C25" s="12" t="s">
        <v>30</v>
      </c>
    </row>
    <row r="27" spans="1:14" ht="15.75">
      <c r="A27" s="257" t="s">
        <v>88</v>
      </c>
      <c r="B27" s="257"/>
      <c r="C27" s="257"/>
      <c r="D27" s="257"/>
      <c r="E27" s="257"/>
      <c r="F27" s="257"/>
      <c r="G27" s="257"/>
      <c r="H27" s="257"/>
      <c r="I27" s="257"/>
      <c r="J27" s="257"/>
      <c r="K27" s="257"/>
      <c r="L27" s="257"/>
      <c r="M27" s="257"/>
      <c r="N27" s="257"/>
    </row>
    <row r="29" ht="12.75"/>
  </sheetData>
  <sheetProtection password="C582" sheet="1" objects="1" scenarios="1"/>
  <mergeCells count="5">
    <mergeCell ref="A27:N27"/>
    <mergeCell ref="A6:C6"/>
    <mergeCell ref="A1:N1"/>
    <mergeCell ref="D3:H3"/>
    <mergeCell ref="D4:H4"/>
  </mergeCells>
  <printOptions/>
  <pageMargins left="0.75" right="0.75" top="1" bottom="1" header="0.5" footer="0.5"/>
  <pageSetup fitToHeight="1" fitToWidth="1" horizontalDpi="600" verticalDpi="600" orientation="landscape" paperSize="159" scale="90" r:id="rId4"/>
  <headerFooter alignWithMargins="0">
    <oddHeader>&amp;C&amp;"Arial,Bold"&amp;12NCP1562 Design Tool</oddHeader>
    <oddFooter>&amp;L&amp;A&amp;C&amp;"Arial,Bold"&amp;12Provided by ON Semiconductor&amp;R&amp;D</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O28"/>
  <sheetViews>
    <sheetView showGridLines="0" workbookViewId="0" topLeftCell="A1">
      <selection activeCell="A10" sqref="A10:B10"/>
    </sheetView>
  </sheetViews>
  <sheetFormatPr defaultColWidth="9.140625" defaultRowHeight="12.75"/>
  <cols>
    <col min="1" max="1" width="23.57421875" style="0" bestFit="1" customWidth="1"/>
    <col min="2" max="2" width="6.8515625" style="0" bestFit="1" customWidth="1"/>
    <col min="3" max="3" width="7.57421875" style="0" customWidth="1"/>
    <col min="4" max="4" width="5.7109375" style="0" customWidth="1"/>
    <col min="5" max="5" width="9.140625" style="1" customWidth="1"/>
    <col min="6" max="6" width="9.28125" style="0" bestFit="1" customWidth="1"/>
    <col min="9" max="9" width="21.7109375" style="0" customWidth="1"/>
    <col min="13" max="13" width="3.421875" style="0" customWidth="1"/>
  </cols>
  <sheetData>
    <row r="1" spans="1:15" s="1" customFormat="1" ht="18">
      <c r="A1" s="259" t="s">
        <v>62</v>
      </c>
      <c r="B1" s="259"/>
      <c r="C1" s="259"/>
      <c r="D1" s="259"/>
      <c r="E1" s="259"/>
      <c r="F1" s="259"/>
      <c r="G1" s="259"/>
      <c r="H1" s="259"/>
      <c r="I1" s="259"/>
      <c r="J1" s="259"/>
      <c r="K1" s="259"/>
      <c r="L1" s="259"/>
      <c r="M1" s="259"/>
      <c r="N1" s="82"/>
      <c r="O1" s="50"/>
    </row>
    <row r="2" spans="2:11" ht="12.75">
      <c r="B2" s="18"/>
      <c r="C2" s="4"/>
      <c r="D2" s="4"/>
      <c r="J2" s="18"/>
      <c r="K2" s="13"/>
    </row>
    <row r="3" spans="1:11" ht="12.75">
      <c r="A3" s="65" t="s">
        <v>82</v>
      </c>
      <c r="B3" s="18"/>
      <c r="C3" s="4"/>
      <c r="D3" s="4"/>
      <c r="I3" s="15" t="s">
        <v>37</v>
      </c>
      <c r="J3" s="18"/>
      <c r="K3" s="13"/>
    </row>
    <row r="4" spans="1:11" ht="12.75">
      <c r="A4" s="261" t="s">
        <v>61</v>
      </c>
      <c r="B4" s="262"/>
      <c r="C4" s="216">
        <v>15</v>
      </c>
      <c r="D4" s="3" t="s">
        <v>32</v>
      </c>
      <c r="E4" s="2"/>
      <c r="I4" s="28" t="s">
        <v>80</v>
      </c>
      <c r="J4" s="211">
        <v>120</v>
      </c>
      <c r="K4" s="21" t="s">
        <v>17</v>
      </c>
    </row>
    <row r="5" spans="1:11" ht="15.75">
      <c r="A5" s="261" t="s">
        <v>60</v>
      </c>
      <c r="B5" s="262"/>
      <c r="C5" s="208">
        <f>Vout1/(Iout1*C4/100)/f*1000*(1-DCmin)</f>
        <v>1.5275818275554212</v>
      </c>
      <c r="D5" s="21" t="s">
        <v>17</v>
      </c>
      <c r="E5" s="2"/>
      <c r="I5" s="12" t="s">
        <v>85</v>
      </c>
      <c r="J5" s="208">
        <f>Data2!B46</f>
        <v>5.87214405170571</v>
      </c>
      <c r="K5" s="3" t="s">
        <v>2</v>
      </c>
    </row>
    <row r="6" spans="1:11" ht="15.75">
      <c r="A6" s="261" t="s">
        <v>444</v>
      </c>
      <c r="B6" s="262"/>
      <c r="C6" s="214">
        <v>1.5</v>
      </c>
      <c r="D6" s="21" t="s">
        <v>17</v>
      </c>
      <c r="E6" s="11"/>
      <c r="I6" s="12" t="s">
        <v>464</v>
      </c>
      <c r="J6" s="208">
        <f>Data2!B49</f>
        <v>1.8899121778554009</v>
      </c>
      <c r="K6" s="3" t="s">
        <v>2</v>
      </c>
    </row>
    <row r="7" spans="1:11" ht="15.75">
      <c r="A7" s="261" t="s">
        <v>84</v>
      </c>
      <c r="B7" s="262"/>
      <c r="C7" s="208">
        <f>Vout1*(1-DCmin)/f/(Lout*0.001)</f>
        <v>4.582745482666264</v>
      </c>
      <c r="D7" s="3" t="s">
        <v>2</v>
      </c>
      <c r="E7" s="11"/>
      <c r="I7" s="12" t="s">
        <v>86</v>
      </c>
      <c r="J7" s="208">
        <f>Data2!B43</f>
        <v>5.687959973237921</v>
      </c>
      <c r="K7" s="3" t="s">
        <v>2</v>
      </c>
    </row>
    <row r="8" spans="1:11" ht="15.75">
      <c r="A8" s="261" t="s">
        <v>118</v>
      </c>
      <c r="B8" s="262"/>
      <c r="C8" s="208">
        <f>Vout1*(1-DCmax)/f/(Lout*0.001)</f>
        <v>2.3461034994327608</v>
      </c>
      <c r="D8" s="3" t="s">
        <v>2</v>
      </c>
      <c r="E8" s="11"/>
      <c r="I8" s="12" t="s">
        <v>465</v>
      </c>
      <c r="J8" s="208">
        <f>Data2!B48</f>
        <v>2.693644727042249</v>
      </c>
      <c r="K8" s="3" t="s">
        <v>2</v>
      </c>
    </row>
    <row r="9" spans="1:11" ht="12.75">
      <c r="A9" s="261" t="s">
        <v>217</v>
      </c>
      <c r="B9" s="262"/>
      <c r="C9" s="208">
        <f>Data2!K36</f>
        <v>1.1730517497163804</v>
      </c>
      <c r="D9" s="3" t="s">
        <v>2</v>
      </c>
      <c r="E9" s="11"/>
      <c r="I9" s="12" t="s">
        <v>476</v>
      </c>
      <c r="J9" s="211">
        <v>50</v>
      </c>
      <c r="K9" s="12" t="s">
        <v>16</v>
      </c>
    </row>
    <row r="10" spans="1:11" ht="12.75">
      <c r="A10" s="261" t="s">
        <v>461</v>
      </c>
      <c r="B10" s="262"/>
      <c r="C10" s="208">
        <f>Data2!K37</f>
        <v>2.291372741333132</v>
      </c>
      <c r="D10" s="3" t="s">
        <v>2</v>
      </c>
      <c r="E10" s="11"/>
      <c r="I10" s="12" t="s">
        <v>477</v>
      </c>
      <c r="J10" s="208">
        <f>Data2!G45</f>
        <v>0.88712827672792</v>
      </c>
      <c r="K10" s="12" t="s">
        <v>204</v>
      </c>
    </row>
    <row r="11" spans="5:11" ht="12.75">
      <c r="E11" s="11"/>
      <c r="I11" s="12" t="s">
        <v>478</v>
      </c>
      <c r="J11" s="208">
        <f>Data2!G48</f>
        <v>1.3180835503210262</v>
      </c>
      <c r="K11" s="12" t="s">
        <v>204</v>
      </c>
    </row>
    <row r="12" spans="1:5" ht="12.75">
      <c r="A12" s="4"/>
      <c r="B12" s="18"/>
      <c r="C12" s="4"/>
      <c r="D12" s="4"/>
      <c r="E12" s="11"/>
    </row>
    <row r="13" spans="1:5" ht="12.75">
      <c r="A13" s="4"/>
      <c r="B13" s="18"/>
      <c r="C13" s="4"/>
      <c r="D13" s="4"/>
      <c r="E13" s="11"/>
    </row>
    <row r="14" spans="1:5" ht="12.75">
      <c r="A14" s="4"/>
      <c r="B14" s="18"/>
      <c r="C14" s="4"/>
      <c r="D14" s="4"/>
      <c r="E14" s="11"/>
    </row>
    <row r="15" spans="1:5" ht="12.75">
      <c r="A15" s="4"/>
      <c r="B15" s="18"/>
      <c r="C15" s="4"/>
      <c r="D15" s="4"/>
      <c r="E15" s="11"/>
    </row>
    <row r="16" spans="1:5" ht="12.75">
      <c r="A16" s="4"/>
      <c r="B16" s="18"/>
      <c r="C16" s="4"/>
      <c r="D16" s="4"/>
      <c r="E16" s="11"/>
    </row>
    <row r="17" spans="1:5" ht="12.75">
      <c r="A17" s="4"/>
      <c r="B17" s="18"/>
      <c r="C17" s="4"/>
      <c r="D17" s="4"/>
      <c r="E17" s="11"/>
    </row>
    <row r="18" spans="1:5" ht="12.75">
      <c r="A18" s="4"/>
      <c r="B18" s="18"/>
      <c r="C18" s="4"/>
      <c r="D18" s="4"/>
      <c r="E18" s="11"/>
    </row>
    <row r="19" spans="1:5" ht="12.75">
      <c r="A19" s="4"/>
      <c r="B19" s="18"/>
      <c r="C19" s="4"/>
      <c r="D19" s="4"/>
      <c r="E19" s="11"/>
    </row>
    <row r="20" spans="1:5" ht="12.75">
      <c r="A20" s="4"/>
      <c r="B20" s="18"/>
      <c r="C20" s="4"/>
      <c r="D20" s="4"/>
      <c r="E20" s="11"/>
    </row>
    <row r="21" spans="1:5" ht="12.75">
      <c r="A21" s="4"/>
      <c r="B21" s="18"/>
      <c r="C21" s="4"/>
      <c r="D21" s="4"/>
      <c r="E21" s="11"/>
    </row>
    <row r="22" spans="1:5" ht="12.75">
      <c r="A22" s="4"/>
      <c r="B22" s="18"/>
      <c r="C22" s="4"/>
      <c r="D22" s="4"/>
      <c r="E22" s="11"/>
    </row>
    <row r="23" spans="1:5" ht="12.75">
      <c r="A23" s="4"/>
      <c r="B23" s="18"/>
      <c r="C23" s="4"/>
      <c r="D23" s="4"/>
      <c r="E23" s="11"/>
    </row>
    <row r="24" spans="1:5" ht="12.75">
      <c r="A24" s="4"/>
      <c r="B24" s="18"/>
      <c r="C24" s="4"/>
      <c r="D24" s="4"/>
      <c r="E24" s="11"/>
    </row>
    <row r="25" spans="1:5" ht="12.75">
      <c r="A25" s="4"/>
      <c r="B25" s="18"/>
      <c r="C25" s="4"/>
      <c r="D25" s="4"/>
      <c r="E25" s="11"/>
    </row>
    <row r="26" spans="1:5" ht="12.75">
      <c r="A26" s="4"/>
      <c r="B26" s="18"/>
      <c r="C26" s="4"/>
      <c r="D26" s="4"/>
      <c r="E26" s="11"/>
    </row>
    <row r="27" spans="1:5" ht="10.5" customHeight="1">
      <c r="A27" s="4"/>
      <c r="B27" s="18"/>
      <c r="C27" s="4"/>
      <c r="D27" s="4"/>
      <c r="E27" s="11"/>
    </row>
    <row r="28" spans="1:14" s="1" customFormat="1" ht="13.5" customHeight="1">
      <c r="A28" s="257" t="s">
        <v>95</v>
      </c>
      <c r="B28" s="257"/>
      <c r="C28" s="257"/>
      <c r="D28" s="257"/>
      <c r="E28" s="257"/>
      <c r="F28" s="257"/>
      <c r="G28" s="257"/>
      <c r="H28" s="257"/>
      <c r="I28" s="257"/>
      <c r="J28" s="257"/>
      <c r="K28" s="257"/>
      <c r="L28" s="257"/>
      <c r="M28" s="81"/>
      <c r="N28" s="81"/>
    </row>
    <row r="30" ht="12.75"/>
  </sheetData>
  <sheetProtection password="C582" sheet="1" objects="1" scenarios="1"/>
  <mergeCells count="9">
    <mergeCell ref="A1:M1"/>
    <mergeCell ref="A28:L28"/>
    <mergeCell ref="A4:B4"/>
    <mergeCell ref="A5:B5"/>
    <mergeCell ref="A6:B6"/>
    <mergeCell ref="A7:B7"/>
    <mergeCell ref="A8:B8"/>
    <mergeCell ref="A9:B9"/>
    <mergeCell ref="A10:B10"/>
  </mergeCells>
  <printOptions/>
  <pageMargins left="0.75" right="0.75" top="1" bottom="1" header="0.5" footer="0.5"/>
  <pageSetup fitToHeight="1" fitToWidth="1" horizontalDpi="600" verticalDpi="600" orientation="landscape" paperSize="159" scale="91" r:id="rId4"/>
  <headerFooter alignWithMargins="0">
    <oddHeader>&amp;C&amp;"Arial,Bold"&amp;12NCP1562 Design Tool</oddHeader>
    <oddFooter>&amp;L&amp;A&amp;C&amp;"Arial,Bold"&amp;12Provided by ON Semiconductor&amp;R&amp;D</oddFooter>
  </headerFooter>
  <colBreaks count="1" manualBreakCount="1">
    <brk id="14" max="65535" man="1"/>
  </colBreaks>
  <drawing r:id="rId3"/>
  <legacyDrawing r:id="rId2"/>
</worksheet>
</file>

<file path=xl/worksheets/sheet4.xml><?xml version="1.0" encoding="utf-8"?>
<worksheet xmlns="http://schemas.openxmlformats.org/spreadsheetml/2006/main" xmlns:r="http://schemas.openxmlformats.org/officeDocument/2006/relationships">
  <sheetPr codeName="Sheet15"/>
  <dimension ref="A1:S17"/>
  <sheetViews>
    <sheetView showGridLines="0" workbookViewId="0" topLeftCell="A1">
      <selection activeCell="D11" sqref="D11"/>
    </sheetView>
  </sheetViews>
  <sheetFormatPr defaultColWidth="9.140625" defaultRowHeight="12.75"/>
  <cols>
    <col min="4" max="4" width="11.421875" style="0" bestFit="1" customWidth="1"/>
  </cols>
  <sheetData>
    <row r="1" spans="1:19" ht="18">
      <c r="A1" s="259" t="s">
        <v>394</v>
      </c>
      <c r="B1" s="259"/>
      <c r="C1" s="259"/>
      <c r="D1" s="259"/>
      <c r="E1" s="259"/>
      <c r="F1" s="259"/>
      <c r="G1" s="259"/>
      <c r="H1" s="259"/>
      <c r="I1" s="259"/>
      <c r="J1" s="259"/>
      <c r="K1" s="259"/>
      <c r="L1" s="259"/>
      <c r="M1" s="259"/>
      <c r="N1" s="50"/>
      <c r="O1" s="50"/>
      <c r="P1" s="50"/>
      <c r="Q1" s="50"/>
      <c r="R1" s="50"/>
      <c r="S1" s="50"/>
    </row>
    <row r="4" spans="1:5" ht="12.75">
      <c r="A4" s="263" t="s">
        <v>388</v>
      </c>
      <c r="B4" s="263"/>
      <c r="C4" s="263"/>
      <c r="D4" s="211">
        <v>5</v>
      </c>
      <c r="E4" s="3" t="s">
        <v>32</v>
      </c>
    </row>
    <row r="5" spans="1:5" ht="12.75">
      <c r="A5" s="263" t="s">
        <v>420</v>
      </c>
      <c r="B5" s="263"/>
      <c r="C5" s="263"/>
      <c r="D5" s="208">
        <f>1.25*(Vout1*Iout1+Imagll*(Step1!B16/100)*Vinmin)/((Step1!B16/100)*Vinmin*f*1000*(D4/100*Vinmin))*(1-DCmax)*1000000</f>
        <v>3.090801249869652</v>
      </c>
      <c r="E5" s="21" t="s">
        <v>12</v>
      </c>
    </row>
    <row r="6" spans="1:5" ht="12.75">
      <c r="A6" s="263" t="s">
        <v>424</v>
      </c>
      <c r="B6" s="263"/>
      <c r="C6" s="263"/>
      <c r="D6" s="208">
        <f>((D4/100)*Vinmin)/(Step2!J7+Imagll/2)*1000</f>
        <v>278.0499462008486</v>
      </c>
      <c r="E6" s="27" t="s">
        <v>14</v>
      </c>
    </row>
    <row r="7" spans="1:5" ht="12.75">
      <c r="A7" s="261" t="s">
        <v>421</v>
      </c>
      <c r="B7" s="264"/>
      <c r="C7" s="262"/>
      <c r="D7" s="211">
        <v>8.8</v>
      </c>
      <c r="E7" s="21" t="s">
        <v>12</v>
      </c>
    </row>
    <row r="8" spans="1:5" ht="12.75">
      <c r="A8" s="261" t="s">
        <v>415</v>
      </c>
      <c r="B8" s="264"/>
      <c r="C8" s="262"/>
      <c r="D8" s="211">
        <v>10</v>
      </c>
      <c r="E8" s="27" t="s">
        <v>14</v>
      </c>
    </row>
    <row r="9" spans="1:5" ht="12.75">
      <c r="A9" s="261" t="s">
        <v>416</v>
      </c>
      <c r="B9" s="264"/>
      <c r="C9" s="262"/>
      <c r="D9" s="211">
        <v>1.5</v>
      </c>
      <c r="E9" s="21" t="s">
        <v>406</v>
      </c>
    </row>
    <row r="10" spans="1:5" ht="12.75">
      <c r="A10" s="261" t="s">
        <v>417</v>
      </c>
      <c r="B10" s="264"/>
      <c r="C10" s="262"/>
      <c r="D10" s="211">
        <v>13</v>
      </c>
      <c r="E10" s="27" t="s">
        <v>14</v>
      </c>
    </row>
    <row r="11" spans="1:5" ht="12.75">
      <c r="A11" s="261" t="s">
        <v>423</v>
      </c>
      <c r="B11" s="264"/>
      <c r="C11" s="262"/>
      <c r="D11" s="208">
        <f>MAX(Data2!B55:B65)</f>
        <v>4.35437857798243</v>
      </c>
      <c r="E11" s="3" t="s">
        <v>2</v>
      </c>
    </row>
    <row r="12" spans="1:5" ht="12.75">
      <c r="A12" s="261" t="s">
        <v>422</v>
      </c>
      <c r="B12" s="264"/>
      <c r="C12" s="262"/>
      <c r="D12" s="208">
        <f>Vout1*Iout1/(Step1!B16/100)/Vinmin</f>
        <v>3.3333333333333335</v>
      </c>
      <c r="E12" s="12" t="s">
        <v>2</v>
      </c>
    </row>
    <row r="13" spans="1:3" ht="12.75">
      <c r="A13" s="265"/>
      <c r="B13" s="265"/>
      <c r="C13" s="265"/>
    </row>
    <row r="14" spans="1:3" ht="12.75">
      <c r="A14" s="265"/>
      <c r="B14" s="265"/>
      <c r="C14" s="265"/>
    </row>
    <row r="15" spans="1:3" ht="12.75">
      <c r="A15" s="265"/>
      <c r="B15" s="265"/>
      <c r="C15" s="265"/>
    </row>
    <row r="16" spans="1:3" ht="12.75">
      <c r="A16" s="265"/>
      <c r="B16" s="265"/>
      <c r="C16" s="265"/>
    </row>
    <row r="17" spans="1:3" ht="12.75">
      <c r="A17" s="265"/>
      <c r="B17" s="265"/>
      <c r="C17" s="265"/>
    </row>
  </sheetData>
  <sheetProtection password="C582" sheet="1" objects="1" scenarios="1"/>
  <mergeCells count="15">
    <mergeCell ref="A10:C10"/>
    <mergeCell ref="A11:C11"/>
    <mergeCell ref="A12:C12"/>
    <mergeCell ref="A6:C6"/>
    <mergeCell ref="A9:C9"/>
    <mergeCell ref="A8:C8"/>
    <mergeCell ref="A15:C15"/>
    <mergeCell ref="A16:C16"/>
    <mergeCell ref="A17:C17"/>
    <mergeCell ref="A13:C13"/>
    <mergeCell ref="A14:C14"/>
    <mergeCell ref="A1:M1"/>
    <mergeCell ref="A4:C4"/>
    <mergeCell ref="A5:C5"/>
    <mergeCell ref="A7:C7"/>
  </mergeCells>
  <printOptions/>
  <pageMargins left="0.75" right="0.75" top="1" bottom="1" header="0.5" footer="0.5"/>
  <pageSetup horizontalDpi="600" verticalDpi="600" orientation="landscape" paperSize="159" r:id="rId4"/>
  <headerFooter alignWithMargins="0">
    <oddHeader>&amp;C&amp;"Arial,Bold"&amp;12NCP1562 Design Tool</oddHeader>
    <oddFooter>&amp;L&amp;A&amp;C&amp;"Arial,Bold"&amp;12Provided by ON Semiconductor&amp;R&amp;D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4">
    <pageSetUpPr fitToPage="1"/>
  </sheetPr>
  <dimension ref="A1:U34"/>
  <sheetViews>
    <sheetView showGridLines="0" workbookViewId="0" topLeftCell="A1">
      <selection activeCell="B24" sqref="B24"/>
    </sheetView>
  </sheetViews>
  <sheetFormatPr defaultColWidth="9.140625" defaultRowHeight="12.75"/>
  <cols>
    <col min="1" max="1" width="20.7109375" style="1" customWidth="1"/>
    <col min="2" max="2" width="6.421875" style="1" customWidth="1"/>
    <col min="3" max="3" width="3.8515625" style="1" customWidth="1"/>
    <col min="4" max="4" width="5.00390625" style="1" customWidth="1"/>
    <col min="5" max="5" width="6.140625" style="1" customWidth="1"/>
    <col min="6" max="6" width="2.7109375" style="1" customWidth="1"/>
    <col min="7" max="7" width="3.140625" style="1" customWidth="1"/>
    <col min="8" max="8" width="2.7109375" style="1" customWidth="1"/>
    <col min="9" max="9" width="14.00390625" style="1" bestFit="1" customWidth="1"/>
    <col min="10" max="11" width="7.7109375" style="1" customWidth="1"/>
    <col min="12" max="12" width="2.7109375" style="1" customWidth="1"/>
    <col min="13" max="13" width="3.421875" style="1" customWidth="1"/>
    <col min="14" max="14" width="3.28125" style="1" customWidth="1"/>
    <col min="15" max="15" width="15.8515625" style="1" bestFit="1" customWidth="1"/>
    <col min="16" max="16" width="7.7109375" style="1" customWidth="1"/>
    <col min="17" max="17" width="6.8515625" style="1" customWidth="1"/>
    <col min="18" max="18" width="2.8515625" style="1" customWidth="1"/>
    <col min="19" max="16384" width="9.140625" style="1" customWidth="1"/>
  </cols>
  <sheetData>
    <row r="1" spans="1:19" ht="18">
      <c r="A1" s="259" t="s">
        <v>389</v>
      </c>
      <c r="B1" s="259"/>
      <c r="C1" s="259"/>
      <c r="D1" s="259"/>
      <c r="E1" s="259"/>
      <c r="F1" s="259"/>
      <c r="G1" s="259"/>
      <c r="H1" s="259"/>
      <c r="I1" s="259"/>
      <c r="J1" s="259"/>
      <c r="K1" s="259"/>
      <c r="L1" s="259"/>
      <c r="M1" s="259"/>
      <c r="N1" s="259"/>
      <c r="O1" s="259"/>
      <c r="P1" s="259"/>
      <c r="Q1" s="259"/>
      <c r="R1" s="259"/>
      <c r="S1" s="259"/>
    </row>
    <row r="2" spans="1:15" ht="10.5" customHeight="1">
      <c r="A2" s="50"/>
      <c r="B2" s="50"/>
      <c r="C2" s="50"/>
      <c r="D2" s="50"/>
      <c r="E2" s="50"/>
      <c r="F2" s="50"/>
      <c r="G2" s="50"/>
      <c r="H2" s="50"/>
      <c r="I2" s="50"/>
      <c r="J2" s="50"/>
      <c r="K2" s="50"/>
      <c r="L2" s="50"/>
      <c r="M2" s="50"/>
      <c r="N2" s="50"/>
      <c r="O2" s="50"/>
    </row>
    <row r="3" spans="1:3" ht="15.75">
      <c r="A3" s="267" t="s">
        <v>446</v>
      </c>
      <c r="B3" s="267"/>
      <c r="C3" s="268"/>
    </row>
    <row r="4" spans="1:5" ht="12.75">
      <c r="A4" s="263" t="s">
        <v>445</v>
      </c>
      <c r="B4" s="263"/>
      <c r="C4" s="269">
        <v>33</v>
      </c>
      <c r="D4" s="269"/>
      <c r="E4" s="3" t="s">
        <v>11</v>
      </c>
    </row>
    <row r="5" spans="1:5" ht="12.75">
      <c r="A5" s="261" t="s">
        <v>426</v>
      </c>
      <c r="B5" s="262"/>
      <c r="C5" s="266">
        <f>C4/C8</f>
        <v>7.200923578413618</v>
      </c>
      <c r="D5" s="266"/>
      <c r="E5" s="3" t="s">
        <v>14</v>
      </c>
    </row>
    <row r="6" spans="1:5" ht="15.75">
      <c r="A6" s="261" t="s">
        <v>447</v>
      </c>
      <c r="B6" s="262"/>
      <c r="C6" s="266">
        <f>2*Iripmax/(f*8*C4)*1000000</f>
        <v>99.19362516593645</v>
      </c>
      <c r="D6" s="266"/>
      <c r="E6" s="21" t="s">
        <v>12</v>
      </c>
    </row>
    <row r="7" spans="1:5" ht="15.75">
      <c r="A7" s="261" t="s">
        <v>448</v>
      </c>
      <c r="B7" s="262"/>
      <c r="C7" s="270">
        <v>544</v>
      </c>
      <c r="D7" s="271"/>
      <c r="E7" s="21" t="s">
        <v>12</v>
      </c>
    </row>
    <row r="8" spans="1:5" ht="12.75">
      <c r="A8" s="261" t="s">
        <v>238</v>
      </c>
      <c r="B8" s="262"/>
      <c r="C8" s="273">
        <f>Iripmax</f>
        <v>4.582745482666264</v>
      </c>
      <c r="D8" s="274"/>
      <c r="E8" s="27" t="s">
        <v>2</v>
      </c>
    </row>
    <row r="9" spans="1:19" ht="12.75">
      <c r="A9" s="272" t="s">
        <v>13</v>
      </c>
      <c r="B9" s="272"/>
      <c r="C9" s="272"/>
      <c r="F9" s="4"/>
      <c r="G9" s="4"/>
      <c r="H9" s="4"/>
      <c r="I9" s="254"/>
      <c r="J9" s="254"/>
      <c r="K9" s="254"/>
      <c r="L9" s="4"/>
      <c r="N9"/>
      <c r="O9"/>
      <c r="P9"/>
      <c r="Q9"/>
      <c r="R9"/>
      <c r="S9"/>
    </row>
    <row r="10" spans="1:19" ht="12.75">
      <c r="A10" s="3" t="s">
        <v>45</v>
      </c>
      <c r="B10" s="208">
        <f>Iout1</f>
        <v>30</v>
      </c>
      <c r="C10" s="3" t="s">
        <v>2</v>
      </c>
      <c r="F10" s="46"/>
      <c r="G10" s="4"/>
      <c r="H10" s="4"/>
      <c r="I10" s="4"/>
      <c r="J10" s="4"/>
      <c r="K10" s="4"/>
      <c r="L10" s="4"/>
      <c r="N10"/>
      <c r="O10"/>
      <c r="P10"/>
      <c r="Q10"/>
      <c r="R10"/>
      <c r="S10"/>
    </row>
    <row r="11" spans="1:19" ht="15.75">
      <c r="A11" s="3" t="s">
        <v>427</v>
      </c>
      <c r="B11" s="208">
        <f>Iout1*SQRT(DCmax)</f>
        <v>23.75038179289948</v>
      </c>
      <c r="C11" s="3" t="s">
        <v>2</v>
      </c>
      <c r="F11" s="46"/>
      <c r="G11" s="4"/>
      <c r="H11" s="4"/>
      <c r="I11" s="4"/>
      <c r="J11" s="4"/>
      <c r="K11" s="4"/>
      <c r="L11" s="4"/>
      <c r="N11"/>
      <c r="O11"/>
      <c r="P11"/>
      <c r="Q11"/>
      <c r="R11"/>
      <c r="S11"/>
    </row>
    <row r="12" spans="1:19" ht="15.75">
      <c r="A12" s="3" t="s">
        <v>428</v>
      </c>
      <c r="B12" s="208">
        <f>Iout1*SQRT(1-DCmax)</f>
        <v>18.32810313948252</v>
      </c>
      <c r="C12" s="3" t="s">
        <v>2</v>
      </c>
      <c r="F12" s="46"/>
      <c r="G12" s="4"/>
      <c r="H12" s="4"/>
      <c r="I12" s="4"/>
      <c r="J12" s="4"/>
      <c r="K12" s="4"/>
      <c r="L12" s="4"/>
      <c r="N12"/>
      <c r="O12"/>
      <c r="P12"/>
      <c r="Q12"/>
      <c r="R12"/>
      <c r="S12"/>
    </row>
    <row r="13" spans="1:19" ht="15.75">
      <c r="A13" s="3" t="s">
        <v>429</v>
      </c>
      <c r="B13" s="208">
        <f>Iout1*SQRT(DCmin)</f>
        <v>15.615190345536309</v>
      </c>
      <c r="C13" s="3" t="s">
        <v>2</v>
      </c>
      <c r="F13" s="46"/>
      <c r="G13" s="4"/>
      <c r="H13" s="4"/>
      <c r="I13" s="4"/>
      <c r="J13" s="4"/>
      <c r="K13" s="4"/>
      <c r="L13" s="4"/>
      <c r="N13"/>
      <c r="O13"/>
      <c r="P13"/>
      <c r="Q13"/>
      <c r="R13"/>
      <c r="S13"/>
    </row>
    <row r="14" spans="1:19" ht="15.75">
      <c r="A14" s="3" t="s">
        <v>430</v>
      </c>
      <c r="B14" s="208">
        <f>Iout1*SQRT(1-DCmin)</f>
        <v>25.615734041262016</v>
      </c>
      <c r="C14" s="3" t="s">
        <v>2</v>
      </c>
      <c r="F14" s="46"/>
      <c r="G14" s="4"/>
      <c r="H14" s="4"/>
      <c r="I14" s="4"/>
      <c r="J14" s="4"/>
      <c r="K14" s="4"/>
      <c r="L14" s="4"/>
      <c r="N14"/>
      <c r="O14"/>
      <c r="P14"/>
      <c r="Q14"/>
      <c r="R14"/>
      <c r="S14"/>
    </row>
    <row r="15" spans="1:18" ht="12.75">
      <c r="A15" s="3" t="s">
        <v>449</v>
      </c>
      <c r="B15" s="208">
        <f>MAX(Data2!B71:C81)</f>
        <v>12.666666666666663</v>
      </c>
      <c r="C15" s="3" t="s">
        <v>30</v>
      </c>
      <c r="F15" s="46"/>
      <c r="G15" s="4"/>
      <c r="H15" s="4"/>
      <c r="I15" s="4"/>
      <c r="J15" s="4"/>
      <c r="K15" s="4"/>
      <c r="L15" s="4"/>
      <c r="N15" s="47"/>
      <c r="O15" s="4"/>
      <c r="P15" s="4"/>
      <c r="Q15" s="4"/>
      <c r="R15" s="4"/>
    </row>
    <row r="16" spans="1:18" ht="12.75">
      <c r="A16" s="3" t="s">
        <v>450</v>
      </c>
      <c r="B16" s="208">
        <f>MIN(Data2!B71:C81)</f>
        <v>4.73604699958036</v>
      </c>
      <c r="C16" s="3" t="s">
        <v>30</v>
      </c>
      <c r="F16" s="46"/>
      <c r="G16" s="4"/>
      <c r="H16" s="4"/>
      <c r="I16" s="4"/>
      <c r="J16" s="4"/>
      <c r="K16" s="4"/>
      <c r="L16" s="4"/>
      <c r="N16" s="47"/>
      <c r="O16" s="4"/>
      <c r="P16" s="4"/>
      <c r="Q16" s="4"/>
      <c r="R16" s="4"/>
    </row>
    <row r="17" spans="1:18" ht="12.75">
      <c r="A17" s="3" t="s">
        <v>431</v>
      </c>
      <c r="B17" s="208">
        <f>MAX(Data2!B71:C81)</f>
        <v>12.666666666666663</v>
      </c>
      <c r="C17" s="3" t="s">
        <v>30</v>
      </c>
      <c r="F17" s="46"/>
      <c r="G17" s="4"/>
      <c r="H17" s="4"/>
      <c r="I17" s="4"/>
      <c r="J17" s="4"/>
      <c r="K17" s="4"/>
      <c r="L17" s="4"/>
      <c r="N17" s="47"/>
      <c r="O17" s="4"/>
      <c r="P17" s="4"/>
      <c r="Q17" s="4"/>
      <c r="R17" s="4"/>
    </row>
    <row r="18" spans="1:18" ht="12.75">
      <c r="A18" s="3" t="s">
        <v>451</v>
      </c>
      <c r="B18" s="211">
        <v>20</v>
      </c>
      <c r="C18" s="3" t="s">
        <v>30</v>
      </c>
      <c r="F18" s="46"/>
      <c r="G18" s="4"/>
      <c r="H18" s="4"/>
      <c r="I18" s="4"/>
      <c r="J18" s="4"/>
      <c r="K18" s="4"/>
      <c r="L18" s="4"/>
      <c r="N18" s="47"/>
      <c r="O18" s="4"/>
      <c r="P18" s="4"/>
      <c r="Q18" s="4"/>
      <c r="R18" s="4"/>
    </row>
    <row r="19" spans="1:18" ht="15.75">
      <c r="A19" s="3" t="s">
        <v>432</v>
      </c>
      <c r="B19" s="214">
        <v>4.3</v>
      </c>
      <c r="C19" s="3" t="s">
        <v>14</v>
      </c>
      <c r="F19" s="46"/>
      <c r="G19" s="4"/>
      <c r="H19" s="4"/>
      <c r="I19" s="4"/>
      <c r="J19" s="4"/>
      <c r="K19" s="4"/>
      <c r="L19" s="4"/>
      <c r="N19" s="4"/>
      <c r="O19" s="4"/>
      <c r="P19" s="4"/>
      <c r="Q19" s="4"/>
      <c r="R19" s="4"/>
    </row>
    <row r="20" spans="1:12" ht="15.75">
      <c r="A20" s="3" t="s">
        <v>433</v>
      </c>
      <c r="B20" s="216">
        <v>39</v>
      </c>
      <c r="C20" s="3" t="s">
        <v>15</v>
      </c>
      <c r="F20" s="46"/>
      <c r="G20" s="46"/>
      <c r="H20" s="46"/>
      <c r="I20" s="4"/>
      <c r="J20" s="4"/>
      <c r="K20" s="4"/>
      <c r="L20" s="46"/>
    </row>
    <row r="21" spans="1:12" ht="15.75">
      <c r="A21" s="3" t="s">
        <v>434</v>
      </c>
      <c r="B21" s="214">
        <v>18</v>
      </c>
      <c r="C21" s="3" t="s">
        <v>15</v>
      </c>
      <c r="F21" s="46"/>
      <c r="G21" s="46"/>
      <c r="H21" s="46"/>
      <c r="I21" s="4"/>
      <c r="J21" s="4"/>
      <c r="K21" s="4"/>
      <c r="L21" s="46"/>
    </row>
    <row r="22" spans="1:12" ht="15.75">
      <c r="A22" s="3" t="s">
        <v>435</v>
      </c>
      <c r="B22" s="214">
        <v>0.7</v>
      </c>
      <c r="C22" s="3" t="s">
        <v>30</v>
      </c>
      <c r="F22" s="46"/>
      <c r="G22" s="46"/>
      <c r="H22" s="46"/>
      <c r="I22" s="4"/>
      <c r="J22" s="4"/>
      <c r="K22" s="4"/>
      <c r="L22" s="46"/>
    </row>
    <row r="23" spans="1:12" ht="15.75">
      <c r="A23" s="3" t="s">
        <v>436</v>
      </c>
      <c r="B23" s="214">
        <v>100</v>
      </c>
      <c r="C23" s="3" t="s">
        <v>16</v>
      </c>
      <c r="F23" s="46"/>
      <c r="G23" s="46"/>
      <c r="H23" s="46"/>
      <c r="K23" s="4"/>
      <c r="L23" s="46"/>
    </row>
    <row r="24" spans="6:12" ht="12.75">
      <c r="F24" s="46"/>
      <c r="G24" s="46"/>
      <c r="H24" s="46"/>
      <c r="K24" s="4"/>
      <c r="L24" s="46"/>
    </row>
    <row r="25" spans="6:12" ht="9" customHeight="1">
      <c r="F25" s="46"/>
      <c r="G25" s="46"/>
      <c r="H25" s="46"/>
      <c r="I25" s="4"/>
      <c r="J25" s="4"/>
      <c r="K25" s="4"/>
      <c r="L25" s="46"/>
    </row>
    <row r="26" spans="1:19" ht="15.75">
      <c r="A26" s="257" t="s">
        <v>106</v>
      </c>
      <c r="B26" s="257"/>
      <c r="C26" s="257"/>
      <c r="D26" s="257"/>
      <c r="E26" s="257"/>
      <c r="F26" s="257"/>
      <c r="G26" s="257"/>
      <c r="H26" s="257"/>
      <c r="I26" s="257"/>
      <c r="J26" s="257"/>
      <c r="K26" s="257"/>
      <c r="L26" s="257"/>
      <c r="M26" s="257"/>
      <c r="N26" s="257"/>
      <c r="O26" s="257"/>
      <c r="P26" s="257"/>
      <c r="Q26" s="257"/>
      <c r="R26" s="257"/>
      <c r="S26" s="257"/>
    </row>
    <row r="27" spans="6:12" ht="7.5" customHeight="1">
      <c r="F27" s="46"/>
      <c r="G27" s="46"/>
      <c r="H27" s="46"/>
      <c r="I27" s="4"/>
      <c r="J27" s="4"/>
      <c r="K27" s="4"/>
      <c r="L27" s="46"/>
    </row>
    <row r="28" spans="8:21" ht="12.75">
      <c r="H28" s="46"/>
      <c r="I28" s="4"/>
      <c r="J28" s="4"/>
      <c r="K28" s="4"/>
      <c r="L28" s="46"/>
      <c r="O28" s="4"/>
      <c r="P28" s="4"/>
      <c r="U28" s="46"/>
    </row>
    <row r="29" spans="8:21" ht="12.75">
      <c r="H29" s="46"/>
      <c r="I29" s="4"/>
      <c r="J29" s="4"/>
      <c r="K29" s="4"/>
      <c r="L29" s="46"/>
      <c r="O29" s="4"/>
      <c r="P29" s="4"/>
      <c r="U29" s="46"/>
    </row>
    <row r="30" spans="8:21" ht="12.75">
      <c r="H30" s="46"/>
      <c r="I30" s="4"/>
      <c r="J30" s="4"/>
      <c r="K30" s="4"/>
      <c r="L30" s="46"/>
      <c r="O30" s="4"/>
      <c r="P30" s="4"/>
      <c r="U30" s="46"/>
    </row>
    <row r="31" spans="8:21" ht="12.75">
      <c r="H31" s="46"/>
      <c r="I31" s="4"/>
      <c r="J31" s="18"/>
      <c r="K31" s="4"/>
      <c r="L31" s="46"/>
      <c r="O31" s="4"/>
      <c r="P31" s="4"/>
      <c r="U31" s="46"/>
    </row>
    <row r="32" spans="2:21" ht="12.75">
      <c r="B32" s="46"/>
      <c r="C32" s="4"/>
      <c r="D32" s="18"/>
      <c r="E32" s="4"/>
      <c r="F32" s="46"/>
      <c r="H32" s="46"/>
      <c r="I32" s="4"/>
      <c r="J32" s="18"/>
      <c r="K32" s="4"/>
      <c r="L32" s="46"/>
      <c r="O32" s="4"/>
      <c r="P32" s="4"/>
      <c r="T32" s="4"/>
      <c r="U32" s="46"/>
    </row>
    <row r="33" spans="3:21" ht="12.75">
      <c r="C33" s="4"/>
      <c r="D33" s="18"/>
      <c r="E33" s="4"/>
      <c r="O33" s="46"/>
      <c r="P33" s="4"/>
      <c r="T33" s="4"/>
      <c r="U33" s="46"/>
    </row>
    <row r="34" spans="3:21" ht="12.75">
      <c r="C34" s="4"/>
      <c r="D34" s="18"/>
      <c r="E34" s="4"/>
      <c r="O34" s="46"/>
      <c r="U34" s="46"/>
    </row>
    <row r="35" ht="12.75"/>
  </sheetData>
  <sheetProtection password="C582" sheet="1" objects="1" scenarios="1"/>
  <mergeCells count="15">
    <mergeCell ref="A8:B8"/>
    <mergeCell ref="A26:S26"/>
    <mergeCell ref="I9:K9"/>
    <mergeCell ref="A9:C9"/>
    <mergeCell ref="C8:D8"/>
    <mergeCell ref="A7:B7"/>
    <mergeCell ref="C4:D4"/>
    <mergeCell ref="C6:D6"/>
    <mergeCell ref="C7:D7"/>
    <mergeCell ref="A1:S1"/>
    <mergeCell ref="A4:B4"/>
    <mergeCell ref="A6:B6"/>
    <mergeCell ref="C5:D5"/>
    <mergeCell ref="A5:B5"/>
    <mergeCell ref="A3:C3"/>
  </mergeCells>
  <conditionalFormatting sqref="B16:B17">
    <cfRule type="cellIs" priority="1" dxfId="0" operator="greaterThan" stopIfTrue="1">
      <formula>$B$18</formula>
    </cfRule>
  </conditionalFormatting>
  <printOptions/>
  <pageMargins left="0.75" right="0.75" top="1" bottom="1" header="0.5" footer="0.5"/>
  <pageSetup fitToHeight="1" fitToWidth="1" horizontalDpi="600" verticalDpi="600" orientation="landscape" paperSize="159" scale="94" r:id="rId4"/>
  <headerFooter alignWithMargins="0">
    <oddHeader>&amp;C&amp;"Arial,Bold"&amp;12NCP1562 Design Tool</oddHeader>
    <oddFooter>&amp;L&amp;A&amp;C&amp;"Arial,Bold"&amp;12Provided by ON Semiconductor&amp;R&amp;D</oddFooter>
  </headerFooter>
  <rowBreaks count="1" manualBreakCount="1">
    <brk id="32"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8"/>
  <dimension ref="B1:V27"/>
  <sheetViews>
    <sheetView showGridLines="0" workbookViewId="0" topLeftCell="A1">
      <selection activeCell="C16" sqref="C16"/>
    </sheetView>
  </sheetViews>
  <sheetFormatPr defaultColWidth="9.140625" defaultRowHeight="12.75"/>
  <cols>
    <col min="1" max="1" width="0.85546875" style="0" customWidth="1"/>
    <col min="2" max="2" width="31.140625" style="0" customWidth="1"/>
    <col min="3" max="3" width="7.421875" style="0" customWidth="1"/>
    <col min="4" max="4" width="5.140625" style="0" customWidth="1"/>
    <col min="7" max="7" width="12.28125" style="0" customWidth="1"/>
    <col min="11" max="11" width="15.421875" style="0" customWidth="1"/>
  </cols>
  <sheetData>
    <row r="1" spans="2:15" ht="18">
      <c r="B1" s="259" t="s">
        <v>390</v>
      </c>
      <c r="C1" s="259"/>
      <c r="D1" s="259"/>
      <c r="E1" s="259"/>
      <c r="F1" s="259"/>
      <c r="G1" s="259"/>
      <c r="H1" s="259"/>
      <c r="I1" s="259"/>
      <c r="J1" s="259"/>
      <c r="K1" s="259"/>
      <c r="L1" s="50"/>
      <c r="M1" s="50"/>
      <c r="N1" s="50"/>
      <c r="O1" s="50"/>
    </row>
    <row r="2" spans="2:11" ht="12.75">
      <c r="B2" s="105"/>
      <c r="C2" s="105"/>
      <c r="D2" s="105"/>
      <c r="E2" s="105"/>
      <c r="F2" s="105"/>
      <c r="G2" s="105"/>
      <c r="H2" s="105"/>
      <c r="I2" s="105"/>
      <c r="J2" s="105"/>
      <c r="K2" s="105"/>
    </row>
    <row r="3" spans="2:4" s="1" customFormat="1" ht="15.75">
      <c r="B3" s="267" t="s">
        <v>453</v>
      </c>
      <c r="C3" s="267"/>
      <c r="D3" s="267"/>
    </row>
    <row r="4" spans="2:22" s="1" customFormat="1" ht="15.75">
      <c r="B4" s="3" t="s">
        <v>112</v>
      </c>
      <c r="C4" s="230">
        <v>2</v>
      </c>
      <c r="D4" s="3" t="s">
        <v>359</v>
      </c>
      <c r="M4"/>
      <c r="N4"/>
      <c r="O4"/>
      <c r="P4"/>
      <c r="Q4"/>
      <c r="R4"/>
      <c r="S4"/>
      <c r="T4"/>
      <c r="U4"/>
      <c r="V4"/>
    </row>
    <row r="5" spans="2:22" s="1" customFormat="1" ht="15.75">
      <c r="B5" s="3" t="s">
        <v>113</v>
      </c>
      <c r="C5" s="230">
        <v>19</v>
      </c>
      <c r="D5" s="3" t="s">
        <v>359</v>
      </c>
      <c r="M5"/>
      <c r="N5"/>
      <c r="O5"/>
      <c r="P5"/>
      <c r="Q5"/>
      <c r="R5"/>
      <c r="S5"/>
      <c r="T5"/>
      <c r="U5"/>
      <c r="V5"/>
    </row>
    <row r="6" spans="2:22" s="1" customFormat="1" ht="12.75">
      <c r="B6" s="3" t="s">
        <v>452</v>
      </c>
      <c r="C6" s="230">
        <v>12</v>
      </c>
      <c r="D6" s="3" t="s">
        <v>359</v>
      </c>
      <c r="M6"/>
      <c r="N6"/>
      <c r="O6"/>
      <c r="P6"/>
      <c r="Q6"/>
      <c r="R6"/>
      <c r="S6"/>
      <c r="T6"/>
      <c r="U6"/>
      <c r="V6"/>
    </row>
    <row r="7" spans="2:22" s="1" customFormat="1" ht="12.75">
      <c r="B7"/>
      <c r="C7"/>
      <c r="D7"/>
      <c r="M7"/>
      <c r="N7"/>
      <c r="O7"/>
      <c r="P7"/>
      <c r="Q7"/>
      <c r="R7"/>
      <c r="S7"/>
      <c r="T7"/>
      <c r="U7"/>
      <c r="V7"/>
    </row>
    <row r="8" spans="2:22" s="1" customFormat="1" ht="12.75">
      <c r="B8" s="267" t="s">
        <v>114</v>
      </c>
      <c r="C8" s="267"/>
      <c r="D8" s="267"/>
      <c r="M8"/>
      <c r="N8"/>
      <c r="O8"/>
      <c r="P8"/>
      <c r="Q8"/>
      <c r="R8"/>
      <c r="S8"/>
      <c r="T8"/>
      <c r="U8"/>
      <c r="V8"/>
    </row>
    <row r="9" spans="2:22" s="1" customFormat="1" ht="12.75">
      <c r="B9" s="3" t="s">
        <v>533</v>
      </c>
      <c r="C9" s="227">
        <f>Lmag</f>
        <v>120</v>
      </c>
      <c r="D9" s="21" t="s">
        <v>17</v>
      </c>
      <c r="M9"/>
      <c r="N9"/>
      <c r="O9"/>
      <c r="P9"/>
      <c r="Q9"/>
      <c r="R9"/>
      <c r="S9"/>
      <c r="T9"/>
      <c r="U9"/>
      <c r="V9"/>
    </row>
    <row r="10" spans="2:22" s="1" customFormat="1" ht="12.75">
      <c r="B10" s="3" t="s">
        <v>115</v>
      </c>
      <c r="C10" s="230">
        <v>0</v>
      </c>
      <c r="D10" s="21" t="s">
        <v>17</v>
      </c>
      <c r="M10"/>
      <c r="N10"/>
      <c r="O10"/>
      <c r="P10"/>
      <c r="Q10"/>
      <c r="R10"/>
      <c r="S10"/>
      <c r="T10"/>
      <c r="U10"/>
      <c r="V10"/>
    </row>
    <row r="11" spans="2:22" s="1" customFormat="1" ht="12.75">
      <c r="B11" s="3" t="s">
        <v>116</v>
      </c>
      <c r="C11" s="230">
        <v>0</v>
      </c>
      <c r="D11" s="21" t="s">
        <v>17</v>
      </c>
      <c r="M11"/>
      <c r="N11"/>
      <c r="O11"/>
      <c r="P11"/>
      <c r="Q11"/>
      <c r="R11"/>
      <c r="S11"/>
      <c r="T11"/>
      <c r="U11"/>
      <c r="V11"/>
    </row>
    <row r="12" spans="2:22" s="1" customFormat="1" ht="15.75">
      <c r="B12" s="3" t="s">
        <v>117</v>
      </c>
      <c r="C12" s="231">
        <v>180</v>
      </c>
      <c r="D12" s="3" t="s">
        <v>75</v>
      </c>
      <c r="M12"/>
      <c r="N12"/>
      <c r="O12"/>
      <c r="P12"/>
      <c r="Q12"/>
      <c r="R12"/>
      <c r="S12"/>
      <c r="T12"/>
      <c r="U12"/>
      <c r="V12"/>
    </row>
    <row r="13" spans="2:4" s="1" customFormat="1" ht="12.75">
      <c r="B13" s="3" t="s">
        <v>149</v>
      </c>
      <c r="C13" s="231">
        <v>10</v>
      </c>
      <c r="D13" s="3" t="s">
        <v>75</v>
      </c>
    </row>
    <row r="14" spans="2:4" s="1" customFormat="1" ht="12.75">
      <c r="B14" s="3" t="s">
        <v>242</v>
      </c>
      <c r="C14" s="231">
        <v>40</v>
      </c>
      <c r="D14" s="3" t="s">
        <v>15</v>
      </c>
    </row>
    <row r="15" spans="2:4" s="1" customFormat="1" ht="12.75">
      <c r="B15" s="3" t="s">
        <v>243</v>
      </c>
      <c r="C15" s="231">
        <v>9</v>
      </c>
      <c r="D15" s="3" t="s">
        <v>15</v>
      </c>
    </row>
    <row r="16" spans="2:4" s="1" customFormat="1" ht="12.75">
      <c r="B16" s="47"/>
      <c r="C16" s="54"/>
      <c r="D16" s="4"/>
    </row>
    <row r="17" spans="2:4" s="1" customFormat="1" ht="12.75">
      <c r="B17" s="272" t="s">
        <v>241</v>
      </c>
      <c r="C17" s="272"/>
      <c r="D17" s="272"/>
    </row>
    <row r="18" spans="2:4" s="1" customFormat="1" ht="12.75">
      <c r="B18" s="3" t="s">
        <v>146</v>
      </c>
      <c r="C18" s="208">
        <f>Data2!D112</f>
        <v>26.37677310546615</v>
      </c>
      <c r="D18" s="27" t="s">
        <v>16</v>
      </c>
    </row>
    <row r="19" spans="2:4" s="1" customFormat="1" ht="12.75">
      <c r="B19" s="3" t="s">
        <v>147</v>
      </c>
      <c r="C19" s="208">
        <f>Data2!D113</f>
        <v>10.905924191804898</v>
      </c>
      <c r="D19" s="27" t="s">
        <v>16</v>
      </c>
    </row>
    <row r="20" spans="2:4" s="1" customFormat="1" ht="15.75">
      <c r="B20" s="3" t="s">
        <v>137</v>
      </c>
      <c r="C20" s="208">
        <f>Data2!D114</f>
        <v>37.28269729727105</v>
      </c>
      <c r="D20" s="27" t="s">
        <v>16</v>
      </c>
    </row>
    <row r="21" spans="2:4" s="1" customFormat="1" ht="15.75">
      <c r="B21" s="3" t="s">
        <v>138</v>
      </c>
      <c r="C21" s="208">
        <f>Data2!B117</f>
        <v>533.2053407801728</v>
      </c>
      <c r="D21" s="28" t="s">
        <v>16</v>
      </c>
    </row>
    <row r="22" spans="2:4" s="1" customFormat="1" ht="12.75">
      <c r="B22" s="3" t="s">
        <v>148</v>
      </c>
      <c r="C22" s="208">
        <f>Data2!B120</f>
        <v>21.23894428072377</v>
      </c>
      <c r="D22" s="28" t="s">
        <v>16</v>
      </c>
    </row>
    <row r="23" spans="2:4" s="1" customFormat="1" ht="12.75">
      <c r="B23" s="3" t="s">
        <v>178</v>
      </c>
      <c r="C23" s="228">
        <f>td</f>
        <v>100</v>
      </c>
      <c r="D23" s="3" t="s">
        <v>16</v>
      </c>
    </row>
    <row r="24" spans="2:4" s="1" customFormat="1" ht="12.75">
      <c r="B24" s="47"/>
      <c r="C24" s="13"/>
      <c r="D24" s="4"/>
    </row>
    <row r="25" spans="2:4" s="1" customFormat="1" ht="12.75">
      <c r="B25" s="148" t="s">
        <v>517</v>
      </c>
      <c r="C25" s="13"/>
      <c r="D25" s="4"/>
    </row>
    <row r="26" spans="2:4" ht="12.75">
      <c r="B26" s="12" t="s">
        <v>218</v>
      </c>
      <c r="C26" s="208">
        <f>Step1!B25</f>
        <v>104.41628199748213</v>
      </c>
      <c r="D26" s="3" t="s">
        <v>30</v>
      </c>
    </row>
    <row r="27" spans="2:4" ht="12.75">
      <c r="B27" s="12" t="s">
        <v>518</v>
      </c>
      <c r="C27" s="229">
        <f>Data2!K40</f>
        <v>0.2970783592398878</v>
      </c>
      <c r="D27" s="3" t="s">
        <v>2</v>
      </c>
    </row>
  </sheetData>
  <sheetProtection password="C582" sheet="1" objects="1" scenarios="1"/>
  <mergeCells count="4">
    <mergeCell ref="B17:D17"/>
    <mergeCell ref="B8:D8"/>
    <mergeCell ref="B3:D3"/>
    <mergeCell ref="B1:K1"/>
  </mergeCells>
  <printOptions/>
  <pageMargins left="0.75" right="0.75" top="1" bottom="1" header="0.5" footer="0.5"/>
  <pageSetup horizontalDpi="600" verticalDpi="600" orientation="landscape" paperSize="159" r:id="rId4"/>
  <headerFooter alignWithMargins="0">
    <oddHeader>&amp;C&amp;"Arial,Bold"&amp;12NCP1562 Design Tool</oddHeader>
    <oddFooter>&amp;L&amp;A&amp;C&amp;"Arial,Bold"&amp;12Provided by ON Semiconductor&amp;R&amp;D</oddFooter>
  </headerFooter>
  <colBreaks count="1" manualBreakCount="1">
    <brk id="11"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10">
    <pageSetUpPr fitToPage="1"/>
  </sheetPr>
  <dimension ref="B1:N34"/>
  <sheetViews>
    <sheetView showGridLines="0" workbookViewId="0" topLeftCell="A1">
      <selection activeCell="I9" sqref="I9"/>
    </sheetView>
  </sheetViews>
  <sheetFormatPr defaultColWidth="9.140625" defaultRowHeight="12.75"/>
  <cols>
    <col min="1" max="1" width="1.421875" style="0" customWidth="1"/>
    <col min="2" max="2" width="2.00390625" style="0" customWidth="1"/>
    <col min="4" max="4" width="10.8515625" style="0" customWidth="1"/>
    <col min="5" max="5" width="10.140625" style="0" bestFit="1" customWidth="1"/>
    <col min="6" max="6" width="9.28125" style="0" bestFit="1" customWidth="1"/>
    <col min="8" max="8" width="10.57421875" style="0" bestFit="1" customWidth="1"/>
    <col min="9" max="9" width="13.421875" style="0" customWidth="1"/>
    <col min="10" max="10" width="9.28125" style="0" bestFit="1" customWidth="1"/>
    <col min="13" max="13" width="2.57421875" style="0" customWidth="1"/>
  </cols>
  <sheetData>
    <row r="1" spans="3:13" ht="18">
      <c r="C1" s="259" t="s">
        <v>391</v>
      </c>
      <c r="D1" s="259"/>
      <c r="E1" s="259"/>
      <c r="F1" s="259"/>
      <c r="G1" s="259"/>
      <c r="H1" s="259"/>
      <c r="I1" s="259"/>
      <c r="J1" s="259"/>
      <c r="K1" s="259"/>
      <c r="L1" s="259"/>
      <c r="M1" s="259"/>
    </row>
    <row r="3" spans="3:13" s="112" customFormat="1" ht="16.5" thickBot="1">
      <c r="C3" s="111" t="s">
        <v>177</v>
      </c>
      <c r="M3" s="175"/>
    </row>
    <row r="4" spans="2:13" ht="12.75">
      <c r="B4" s="133"/>
      <c r="C4" s="134"/>
      <c r="D4" s="134"/>
      <c r="E4" s="134"/>
      <c r="F4" s="134"/>
      <c r="G4" s="134"/>
      <c r="H4" s="134"/>
      <c r="I4" s="134"/>
      <c r="J4" s="134"/>
      <c r="K4" s="134"/>
      <c r="L4" s="135"/>
      <c r="M4" s="46"/>
    </row>
    <row r="5" spans="2:13" ht="12.75">
      <c r="B5" s="136"/>
      <c r="C5" s="246" t="s">
        <v>169</v>
      </c>
      <c r="D5" s="247"/>
      <c r="E5" s="248"/>
      <c r="F5" s="223">
        <f>Vinmin</f>
        <v>33</v>
      </c>
      <c r="G5" s="46"/>
      <c r="H5" s="46"/>
      <c r="I5" s="46"/>
      <c r="J5" s="32"/>
      <c r="K5" s="32"/>
      <c r="L5" s="108"/>
      <c r="M5" s="32"/>
    </row>
    <row r="6" spans="2:13" ht="12.75">
      <c r="B6" s="136"/>
      <c r="C6" s="246" t="s">
        <v>168</v>
      </c>
      <c r="D6" s="247"/>
      <c r="E6" s="248"/>
      <c r="F6" s="223">
        <f>Vinmax</f>
        <v>76</v>
      </c>
      <c r="G6" s="46"/>
      <c r="H6" s="46"/>
      <c r="I6" s="3" t="s">
        <v>206</v>
      </c>
      <c r="J6" s="249" t="s">
        <v>176</v>
      </c>
      <c r="K6" s="249"/>
      <c r="L6" s="108"/>
      <c r="M6" s="32"/>
    </row>
    <row r="7" spans="2:13" ht="12.75">
      <c r="B7" s="136"/>
      <c r="C7" s="246" t="s">
        <v>167</v>
      </c>
      <c r="D7" s="247"/>
      <c r="E7" s="248"/>
      <c r="F7" s="223">
        <f>(Vinmax-Vinmin*Vov/Vuv)/0.00005/1000</f>
        <v>503.59999999999997</v>
      </c>
      <c r="G7" s="46"/>
      <c r="H7" s="33" t="s">
        <v>179</v>
      </c>
      <c r="I7" s="216">
        <v>523</v>
      </c>
      <c r="J7" s="226">
        <f>((H14/(Ruvov1*1000+Ruvov2*1000))^2*Ruvov1*1000)*1000</f>
        <v>10.890978181604009</v>
      </c>
      <c r="K7" s="7" t="s">
        <v>205</v>
      </c>
      <c r="L7" s="108"/>
      <c r="M7" s="32"/>
    </row>
    <row r="8" spans="2:13" ht="12.75">
      <c r="B8" s="136"/>
      <c r="C8" s="246" t="s">
        <v>166</v>
      </c>
      <c r="D8" s="247"/>
      <c r="E8" s="248"/>
      <c r="F8" s="208">
        <f>F7*Vuv/(Vinmin-Vuv)</f>
        <v>32.490322580645156</v>
      </c>
      <c r="G8" s="46"/>
      <c r="H8" s="33" t="s">
        <v>180</v>
      </c>
      <c r="I8" s="214">
        <v>32.4</v>
      </c>
      <c r="J8" s="226">
        <f>((H14/(Ruvov1*1000+Ruvov2*1000))^2*Ruvov2*1000)*1000</f>
        <v>0.6746992219578773</v>
      </c>
      <c r="K8" s="7" t="s">
        <v>205</v>
      </c>
      <c r="L8" s="108"/>
      <c r="M8" s="32"/>
    </row>
    <row r="9" spans="2:13" ht="4.5" customHeight="1">
      <c r="B9" s="136"/>
      <c r="C9" s="109"/>
      <c r="D9" s="109"/>
      <c r="E9" s="109"/>
      <c r="F9" s="32"/>
      <c r="G9" s="109"/>
      <c r="H9" s="46"/>
      <c r="I9" s="46"/>
      <c r="J9" s="32"/>
      <c r="K9" s="32"/>
      <c r="L9" s="108"/>
      <c r="M9" s="32"/>
    </row>
    <row r="10" spans="2:13" ht="12.75">
      <c r="B10" s="136"/>
      <c r="C10" s="144" t="s">
        <v>172</v>
      </c>
      <c r="D10" s="109"/>
      <c r="E10" s="109"/>
      <c r="F10" s="32"/>
      <c r="G10" s="144" t="s">
        <v>175</v>
      </c>
      <c r="H10" s="109"/>
      <c r="I10" s="109"/>
      <c r="J10" s="32"/>
      <c r="K10" s="46"/>
      <c r="L10" s="108"/>
      <c r="M10" s="32"/>
    </row>
    <row r="11" spans="2:13" ht="12.75">
      <c r="B11" s="136"/>
      <c r="C11" s="7"/>
      <c r="D11" s="7" t="s">
        <v>173</v>
      </c>
      <c r="E11" s="7" t="s">
        <v>174</v>
      </c>
      <c r="F11" s="32"/>
      <c r="G11" s="7"/>
      <c r="H11" s="7" t="s">
        <v>174</v>
      </c>
      <c r="I11" s="7" t="s">
        <v>173</v>
      </c>
      <c r="J11" s="32"/>
      <c r="K11" s="46"/>
      <c r="L11" s="23"/>
      <c r="M11" s="32"/>
    </row>
    <row r="12" spans="2:13" ht="12.75">
      <c r="B12" s="136"/>
      <c r="C12" s="7" t="s">
        <v>153</v>
      </c>
      <c r="D12" s="224">
        <f>Vuvmin*(Ruvov1+Ruvov2)/(Ruvov2)</f>
        <v>33.25543209876543</v>
      </c>
      <c r="E12" s="225">
        <f>(Vuv-Vuvhmax)*(Ruvov1+Ruvov2)/(Ruvov2)</f>
        <v>32.518327160493826</v>
      </c>
      <c r="F12" s="32"/>
      <c r="G12" s="7" t="s">
        <v>153</v>
      </c>
      <c r="H12" s="225">
        <f>(Ruvov1+Ruvov2)/Ruvov2*Vovmin+Ioffsetuvov*Ruvov1</f>
        <v>75.00462962962963</v>
      </c>
      <c r="I12" s="224">
        <f>(Ruvov1+Ruvov2)/Ruvov2*(Vov-Vovhmax)+Ioffsetuvov*Ruvov1</f>
        <v>76.89024691358024</v>
      </c>
      <c r="J12" s="32"/>
      <c r="K12" s="46"/>
      <c r="L12" s="23"/>
      <c r="M12" s="32"/>
    </row>
    <row r="13" spans="2:13" ht="12.75">
      <c r="B13" s="136"/>
      <c r="C13" s="7" t="s">
        <v>152</v>
      </c>
      <c r="D13" s="224">
        <f>Vuv*(Ruvov1+Ruvov2)/(Ruvov2)</f>
        <v>34.28395061728395</v>
      </c>
      <c r="E13" s="224">
        <f>(Vuv-Vuvh)*(Ruvov1+Ruvov2)/(Ruvov2)</f>
        <v>32.56975308641975</v>
      </c>
      <c r="F13" s="32"/>
      <c r="G13" s="7" t="s">
        <v>152</v>
      </c>
      <c r="H13" s="224">
        <f>(Ruvov1+Ruvov2)/Ruvov2*Vov+Ioffsetuvov*Ruvov1</f>
        <v>78.94728395061729</v>
      </c>
      <c r="I13" s="224">
        <f>(Ruvov1+Ruvov2)/Ruvov2*(Vov-Vovh)+Ioffsetuvov*Ruvov1</f>
        <v>77.23308641975309</v>
      </c>
      <c r="J13" s="32"/>
      <c r="K13" s="46"/>
      <c r="L13" s="108"/>
      <c r="M13" s="32"/>
    </row>
    <row r="14" spans="2:13" ht="12.75">
      <c r="B14" s="136"/>
      <c r="C14" s="7" t="s">
        <v>151</v>
      </c>
      <c r="D14" s="225">
        <f>Vuvmax*(Ruvov1+Ruvov2)/(Ruvov2)</f>
        <v>35.31246913580247</v>
      </c>
      <c r="E14" s="224">
        <f>(Vuv-Vuvhmin)*(Ruvov1+Ruvov2)/(Ruvov2)</f>
        <v>32.62117901234568</v>
      </c>
      <c r="F14" s="32"/>
      <c r="G14" s="7" t="s">
        <v>151</v>
      </c>
      <c r="H14" s="224">
        <f>(Ruvov1+Ruvov2)/Ruvov2*Vovmax+Ioffsetuvov*Ruvov1</f>
        <v>80.14722222222223</v>
      </c>
      <c r="I14" s="225">
        <f>(Ruvov1+Ruvov2)/Ruvov2*(Vov-Vovhmin)+Ioffsetuvov*Ruvov1</f>
        <v>77.57592592592593</v>
      </c>
      <c r="J14" s="32"/>
      <c r="K14" s="32"/>
      <c r="L14" s="108"/>
      <c r="M14" s="32"/>
    </row>
    <row r="15" spans="2:13" ht="4.5" customHeight="1" thickBot="1">
      <c r="B15" s="137"/>
      <c r="C15" s="107"/>
      <c r="D15" s="138"/>
      <c r="E15" s="139"/>
      <c r="F15" s="140"/>
      <c r="G15" s="140"/>
      <c r="H15" s="139"/>
      <c r="I15" s="138"/>
      <c r="J15" s="107"/>
      <c r="K15" s="107"/>
      <c r="L15" s="106"/>
      <c r="M15" s="32"/>
    </row>
    <row r="16" spans="3:13" ht="5.25" customHeight="1">
      <c r="C16" s="32"/>
      <c r="D16" s="127"/>
      <c r="E16" s="128"/>
      <c r="F16" s="18"/>
      <c r="G16" s="18"/>
      <c r="H16" s="128"/>
      <c r="I16" s="127"/>
      <c r="J16" s="6"/>
      <c r="K16" s="6"/>
      <c r="L16" s="6"/>
      <c r="M16" s="32"/>
    </row>
    <row r="17" spans="3:13" ht="16.5" thickBot="1">
      <c r="C17" s="132" t="s">
        <v>195</v>
      </c>
      <c r="D17" s="127"/>
      <c r="E17" s="128"/>
      <c r="F17" s="18"/>
      <c r="G17" s="18"/>
      <c r="H17" s="128"/>
      <c r="I17" s="127"/>
      <c r="J17" s="6"/>
      <c r="K17" s="6"/>
      <c r="L17" s="6"/>
      <c r="M17" s="32"/>
    </row>
    <row r="18" spans="2:14" ht="4.5" customHeight="1">
      <c r="B18" s="133"/>
      <c r="C18" s="134"/>
      <c r="D18" s="134"/>
      <c r="E18" s="143"/>
      <c r="F18" s="134"/>
      <c r="G18" s="134"/>
      <c r="H18" s="134"/>
      <c r="I18" s="134"/>
      <c r="J18" s="134"/>
      <c r="K18" s="51"/>
      <c r="L18" s="52"/>
      <c r="M18" s="32"/>
      <c r="N18" s="46"/>
    </row>
    <row r="19" spans="2:14" ht="15.75">
      <c r="B19" s="136"/>
      <c r="C19" s="275" t="s">
        <v>440</v>
      </c>
      <c r="D19" s="275"/>
      <c r="E19" s="214">
        <v>1.75</v>
      </c>
      <c r="F19" s="3" t="s">
        <v>197</v>
      </c>
      <c r="G19" s="46"/>
      <c r="H19" s="276" t="s">
        <v>438</v>
      </c>
      <c r="I19" s="276"/>
      <c r="J19" s="214">
        <v>45.2</v>
      </c>
      <c r="K19" s="3" t="s">
        <v>199</v>
      </c>
      <c r="L19" s="108"/>
      <c r="M19" s="32"/>
      <c r="N19" s="46"/>
    </row>
    <row r="20" spans="2:14" ht="15.75">
      <c r="B20" s="136"/>
      <c r="C20" s="275" t="s">
        <v>198</v>
      </c>
      <c r="D20" s="275"/>
      <c r="E20" s="214">
        <v>62.4</v>
      </c>
      <c r="F20" s="3" t="s">
        <v>200</v>
      </c>
      <c r="G20" s="46"/>
      <c r="H20" s="277" t="s">
        <v>439</v>
      </c>
      <c r="I20" s="278"/>
      <c r="J20" s="208">
        <f>(Vinmax/J19)*E20/Vinmax/3*1000</f>
        <v>460.17699115044246</v>
      </c>
      <c r="K20" s="3" t="s">
        <v>75</v>
      </c>
      <c r="L20" s="108"/>
      <c r="M20" s="32"/>
      <c r="N20" s="46"/>
    </row>
    <row r="21" spans="2:14" ht="15.75">
      <c r="B21" s="136"/>
      <c r="C21" s="275" t="s">
        <v>201</v>
      </c>
      <c r="D21" s="275"/>
      <c r="E21" s="208">
        <f>Vinmax/E19</f>
        <v>43.42857142857143</v>
      </c>
      <c r="F21" s="3" t="s">
        <v>199</v>
      </c>
      <c r="G21" s="46"/>
      <c r="H21" s="275" t="s">
        <v>454</v>
      </c>
      <c r="I21" s="275"/>
      <c r="J21" s="208">
        <f>Vinmax/J19</f>
        <v>1.6814159292035398</v>
      </c>
      <c r="K21" s="7" t="s">
        <v>197</v>
      </c>
      <c r="L21" s="108"/>
      <c r="M21" s="32"/>
      <c r="N21" s="46"/>
    </row>
    <row r="22" spans="2:14" ht="15.75">
      <c r="B22" s="136"/>
      <c r="C22" s="275" t="s">
        <v>202</v>
      </c>
      <c r="D22" s="275"/>
      <c r="E22" s="208">
        <f>E19*E20/Vinmax/3*1000</f>
        <v>478.9473684210526</v>
      </c>
      <c r="F22" s="3" t="s">
        <v>75</v>
      </c>
      <c r="G22" s="46"/>
      <c r="H22" s="275" t="s">
        <v>203</v>
      </c>
      <c r="I22" s="275"/>
      <c r="J22" s="208">
        <f>Vinmax^2/J19</f>
        <v>127.78761061946902</v>
      </c>
      <c r="K22" s="3" t="s">
        <v>205</v>
      </c>
      <c r="L22" s="23"/>
      <c r="M22" s="46"/>
      <c r="N22" s="46"/>
    </row>
    <row r="23" spans="2:14" ht="15.75">
      <c r="B23" s="136"/>
      <c r="C23" s="46"/>
      <c r="D23" s="46"/>
      <c r="E23" s="18"/>
      <c r="F23" s="4"/>
      <c r="G23" s="46"/>
      <c r="H23" s="276" t="s">
        <v>437</v>
      </c>
      <c r="I23" s="276"/>
      <c r="J23" s="214">
        <v>470</v>
      </c>
      <c r="K23" s="3" t="s">
        <v>75</v>
      </c>
      <c r="L23" s="23"/>
      <c r="M23" s="46"/>
      <c r="N23" s="46"/>
    </row>
    <row r="24" spans="2:14" ht="4.5" customHeight="1" thickBot="1">
      <c r="B24" s="137"/>
      <c r="C24" s="141"/>
      <c r="D24" s="141"/>
      <c r="E24" s="141"/>
      <c r="F24" s="141"/>
      <c r="G24" s="141"/>
      <c r="H24" s="141"/>
      <c r="I24" s="141"/>
      <c r="J24" s="141"/>
      <c r="K24" s="141"/>
      <c r="L24" s="142"/>
      <c r="M24" s="46"/>
      <c r="N24" s="46"/>
    </row>
    <row r="25" ht="8.25" customHeight="1">
      <c r="M25" s="46"/>
    </row>
    <row r="26" spans="3:13" ht="16.5" thickBot="1">
      <c r="C26" s="132" t="s">
        <v>209</v>
      </c>
      <c r="D26" s="127"/>
      <c r="E26" s="128"/>
      <c r="F26" s="18"/>
      <c r="G26" s="18"/>
      <c r="H26" s="128"/>
      <c r="I26" s="127"/>
      <c r="J26" s="6"/>
      <c r="K26" s="6"/>
      <c r="L26" s="6"/>
      <c r="M26" s="32"/>
    </row>
    <row r="27" spans="2:13" ht="4.5" customHeight="1">
      <c r="B27" s="133"/>
      <c r="C27" s="134"/>
      <c r="D27" s="134"/>
      <c r="E27" s="143"/>
      <c r="F27" s="134"/>
      <c r="G27" s="134"/>
      <c r="H27" s="134"/>
      <c r="I27" s="134"/>
      <c r="J27" s="134"/>
      <c r="K27" s="51"/>
      <c r="L27" s="52"/>
      <c r="M27" s="32"/>
    </row>
    <row r="28" spans="2:13" ht="12.75">
      <c r="B28" s="136"/>
      <c r="C28" s="146" t="s">
        <v>210</v>
      </c>
      <c r="D28" s="46"/>
      <c r="E28" s="46"/>
      <c r="F28" s="4"/>
      <c r="G28" s="46"/>
      <c r="H28" s="46"/>
      <c r="I28" s="46"/>
      <c r="J28" s="46"/>
      <c r="K28" s="32"/>
      <c r="L28" s="108"/>
      <c r="M28" s="32"/>
    </row>
    <row r="29" spans="2:13" ht="15.75" customHeight="1">
      <c r="B29" s="136"/>
      <c r="C29" s="46"/>
      <c r="D29" s="46"/>
      <c r="E29" s="4"/>
      <c r="F29" s="46"/>
      <c r="G29" s="46"/>
      <c r="H29" s="279" t="s">
        <v>425</v>
      </c>
      <c r="I29" s="245"/>
      <c r="J29" s="218">
        <f>Data3!E10</f>
        <v>500</v>
      </c>
      <c r="K29" s="7" t="s">
        <v>11</v>
      </c>
      <c r="L29" s="108"/>
      <c r="M29" s="32"/>
    </row>
    <row r="30" spans="2:13" ht="15.75">
      <c r="B30" s="136"/>
      <c r="C30" s="275" t="s">
        <v>207</v>
      </c>
      <c r="D30" s="275"/>
      <c r="E30" s="208">
        <f>(Data3!E10/1000)/MAX(Step2!J5,Step2!J7)*1000</f>
        <v>85.14777491787902</v>
      </c>
      <c r="F30" s="3" t="s">
        <v>14</v>
      </c>
      <c r="G30" s="46"/>
      <c r="H30" s="276" t="s">
        <v>208</v>
      </c>
      <c r="I30" s="276"/>
      <c r="J30" s="208">
        <f>(Data3!E10*0.001)^2/(Step6!E30*0.001)</f>
        <v>2.9360720258528556</v>
      </c>
      <c r="K30" s="27" t="s">
        <v>204</v>
      </c>
      <c r="L30" s="108"/>
      <c r="M30" s="32"/>
    </row>
    <row r="31" spans="2:13" ht="6.75" customHeight="1" thickBot="1">
      <c r="B31" s="137"/>
      <c r="C31" s="141"/>
      <c r="D31" s="141"/>
      <c r="E31" s="141"/>
      <c r="F31" s="141"/>
      <c r="G31" s="141"/>
      <c r="H31" s="141"/>
      <c r="I31" s="141"/>
      <c r="J31" s="141"/>
      <c r="K31" s="141"/>
      <c r="L31" s="142"/>
      <c r="M31" s="46"/>
    </row>
    <row r="32" ht="12.75">
      <c r="M32" s="46"/>
    </row>
    <row r="33" ht="12.75">
      <c r="M33" s="46"/>
    </row>
    <row r="34" ht="12.75">
      <c r="M34" s="46"/>
    </row>
  </sheetData>
  <sheetProtection password="C582" sheet="1" objects="1" scenarios="1"/>
  <mergeCells count="18">
    <mergeCell ref="C1:M1"/>
    <mergeCell ref="C5:E5"/>
    <mergeCell ref="C6:E6"/>
    <mergeCell ref="C7:E7"/>
    <mergeCell ref="J6:K6"/>
    <mergeCell ref="C8:E8"/>
    <mergeCell ref="C19:D19"/>
    <mergeCell ref="C20:D20"/>
    <mergeCell ref="C21:D21"/>
    <mergeCell ref="C30:D30"/>
    <mergeCell ref="H30:I30"/>
    <mergeCell ref="C22:D22"/>
    <mergeCell ref="H19:I19"/>
    <mergeCell ref="H20:I20"/>
    <mergeCell ref="H21:I21"/>
    <mergeCell ref="H22:I22"/>
    <mergeCell ref="H23:I23"/>
    <mergeCell ref="H29:I29"/>
  </mergeCells>
  <conditionalFormatting sqref="J21">
    <cfRule type="cellIs" priority="1" dxfId="0" operator="greaterThan" stopIfTrue="1">
      <formula>8</formula>
    </cfRule>
  </conditionalFormatting>
  <conditionalFormatting sqref="E19">
    <cfRule type="cellIs" priority="2" dxfId="0" operator="greaterThan" stopIfTrue="1">
      <formula>10</formula>
    </cfRule>
  </conditionalFormatting>
  <printOptions/>
  <pageMargins left="0.75" right="0.75" top="1" bottom="1" header="0.5" footer="0.5"/>
  <pageSetup fitToHeight="1" fitToWidth="1" horizontalDpi="600" verticalDpi="600" orientation="landscape" paperSize="159" r:id="rId4"/>
  <headerFooter alignWithMargins="0">
    <oddHeader>&amp;C&amp;"Arial,Bold"&amp;12NCP1562 Design Tool</oddHeader>
    <oddFooter>&amp;L&amp;A&amp;C&amp;"Arial,Bold"&amp;12Provided by ON Semiconductor&amp;R&amp;D</oddFooter>
  </headerFooter>
  <drawing r:id="rId3"/>
  <legacyDrawing r:id="rId2"/>
</worksheet>
</file>

<file path=xl/worksheets/sheet8.xml><?xml version="1.0" encoding="utf-8"?>
<worksheet xmlns="http://schemas.openxmlformats.org/spreadsheetml/2006/main" xmlns:r="http://schemas.openxmlformats.org/officeDocument/2006/relationships">
  <sheetPr codeName="Sheet13">
    <pageSetUpPr fitToPage="1"/>
  </sheetPr>
  <dimension ref="A1:P33"/>
  <sheetViews>
    <sheetView showGridLines="0" workbookViewId="0" topLeftCell="A1">
      <selection activeCell="O27" sqref="O27"/>
    </sheetView>
  </sheetViews>
  <sheetFormatPr defaultColWidth="9.140625" defaultRowHeight="12.75"/>
  <cols>
    <col min="1" max="1" width="0.9921875" style="0" customWidth="1"/>
    <col min="2" max="2" width="5.140625" style="0" bestFit="1" customWidth="1"/>
    <col min="3" max="3" width="4.28125" style="0" bestFit="1" customWidth="1"/>
    <col min="4" max="4" width="5.8515625" style="0" customWidth="1"/>
    <col min="5" max="5" width="8.28125" style="0" customWidth="1"/>
    <col min="11" max="11" width="9.57421875" style="0" bestFit="1" customWidth="1"/>
  </cols>
  <sheetData>
    <row r="1" spans="1:14" ht="18">
      <c r="A1" s="259" t="s">
        <v>392</v>
      </c>
      <c r="B1" s="259"/>
      <c r="C1" s="259"/>
      <c r="D1" s="259"/>
      <c r="E1" s="259"/>
      <c r="F1" s="259"/>
      <c r="G1" s="259"/>
      <c r="H1" s="259"/>
      <c r="I1" s="259"/>
      <c r="J1" s="259"/>
      <c r="K1" s="259"/>
      <c r="L1" s="259"/>
      <c r="M1" s="259"/>
      <c r="N1" s="259"/>
    </row>
    <row r="3" ht="12.75">
      <c r="A3" s="25" t="s">
        <v>189</v>
      </c>
    </row>
    <row r="4" spans="1:16" s="129" customFormat="1" ht="12.75" customHeight="1">
      <c r="A4" s="250" t="s">
        <v>196</v>
      </c>
      <c r="B4" s="250"/>
      <c r="C4" s="250"/>
      <c r="D4" s="250"/>
      <c r="E4" s="250"/>
      <c r="F4" s="250"/>
      <c r="G4" s="250"/>
      <c r="H4" s="250"/>
      <c r="I4" s="250"/>
      <c r="J4" s="250"/>
      <c r="K4" s="250"/>
      <c r="L4" s="250"/>
      <c r="M4" s="250"/>
      <c r="N4" s="250"/>
      <c r="O4" s="250"/>
      <c r="P4" s="250"/>
    </row>
    <row r="5" spans="1:16" s="129" customFormat="1" ht="12.75" customHeight="1">
      <c r="A5" s="250"/>
      <c r="B5" s="250"/>
      <c r="C5" s="250"/>
      <c r="D5" s="250"/>
      <c r="E5" s="250"/>
      <c r="F5" s="250"/>
      <c r="G5" s="250"/>
      <c r="H5" s="250"/>
      <c r="I5" s="250"/>
      <c r="J5" s="250"/>
      <c r="K5" s="250"/>
      <c r="L5" s="250"/>
      <c r="M5" s="250"/>
      <c r="N5" s="250"/>
      <c r="O5" s="250"/>
      <c r="P5" s="250"/>
    </row>
    <row r="6" spans="1:16" ht="13.5" thickBot="1">
      <c r="A6" s="250"/>
      <c r="B6" s="250"/>
      <c r="C6" s="250"/>
      <c r="D6" s="250"/>
      <c r="E6" s="250"/>
      <c r="F6" s="250"/>
      <c r="G6" s="250"/>
      <c r="H6" s="250"/>
      <c r="I6" s="250"/>
      <c r="J6" s="250"/>
      <c r="K6" s="250"/>
      <c r="L6" s="250"/>
      <c r="M6" s="250"/>
      <c r="N6" s="250"/>
      <c r="O6" s="250"/>
      <c r="P6" s="250"/>
    </row>
    <row r="7" spans="2:5" ht="12.75" customHeight="1">
      <c r="B7" s="251" t="str">
        <f>Data3!B26</f>
        <v>Select an RT to set an oscillator duty cycle of 0.662</v>
      </c>
      <c r="C7" s="237"/>
      <c r="D7" s="237"/>
      <c r="E7" s="238"/>
    </row>
    <row r="8" spans="2:5" ht="12.75">
      <c r="B8" s="239"/>
      <c r="C8" s="240"/>
      <c r="D8" s="240"/>
      <c r="E8" s="241"/>
    </row>
    <row r="9" spans="1:5" ht="13.5" thickBot="1">
      <c r="A9" s="129"/>
      <c r="B9" s="242"/>
      <c r="C9" s="243"/>
      <c r="D9" s="243"/>
      <c r="E9" s="244"/>
    </row>
    <row r="10" spans="1:5" ht="12.75">
      <c r="A10" s="129"/>
      <c r="B10" s="129"/>
      <c r="C10" s="129"/>
      <c r="D10" s="129"/>
      <c r="E10" s="129"/>
    </row>
    <row r="11" spans="1:5" ht="12.75">
      <c r="A11" s="129"/>
      <c r="B11" s="129"/>
      <c r="C11" s="129"/>
      <c r="D11" s="129"/>
      <c r="E11" s="129"/>
    </row>
    <row r="25" spans="6:15" s="25" customFormat="1" ht="18.75">
      <c r="F25" s="261" t="s">
        <v>355</v>
      </c>
      <c r="G25" s="262"/>
      <c r="H25" s="220">
        <v>15</v>
      </c>
      <c r="I25" s="27" t="s">
        <v>199</v>
      </c>
      <c r="L25" s="110" t="s">
        <v>188</v>
      </c>
      <c r="M25" s="73"/>
      <c r="N25" s="73"/>
      <c r="O25" s="73"/>
    </row>
    <row r="26" spans="6:15" s="25" customFormat="1" ht="16.5">
      <c r="F26" s="261" t="s">
        <v>356</v>
      </c>
      <c r="G26" s="262"/>
      <c r="H26" s="221">
        <v>300</v>
      </c>
      <c r="I26" s="27" t="s">
        <v>75</v>
      </c>
      <c r="J26" s="124"/>
      <c r="K26" s="122"/>
      <c r="L26" s="120" t="s">
        <v>186</v>
      </c>
      <c r="M26" s="222">
        <v>270</v>
      </c>
      <c r="N26" s="222">
        <v>300</v>
      </c>
      <c r="O26" s="222">
        <v>330</v>
      </c>
    </row>
    <row r="33" ht="18">
      <c r="C33" s="72"/>
    </row>
  </sheetData>
  <sheetProtection password="C582" sheet="1" objects="1" scenarios="1"/>
  <mergeCells count="5">
    <mergeCell ref="F26:G26"/>
    <mergeCell ref="A1:N1"/>
    <mergeCell ref="A4:P6"/>
    <mergeCell ref="B7:E9"/>
    <mergeCell ref="F25:G25"/>
  </mergeCells>
  <printOptions/>
  <pageMargins left="0.75" right="0.75" top="1" bottom="1" header="0.5" footer="0.5"/>
  <pageSetup fitToHeight="1" fitToWidth="1" horizontalDpi="600" verticalDpi="600" orientation="landscape" paperSize="159" scale="90" r:id="rId4"/>
  <headerFooter alignWithMargins="0">
    <oddHeader>&amp;C&amp;"Arial,Bold"&amp;12NCP1562 Design Tool</oddHeader>
    <oddFooter>&amp;L&amp;A&amp;C&amp;"Arial,Bold"&amp;12Provided by ON Semiconductor&amp;R&amp;D</oddFooter>
  </headerFooter>
  <drawing r:id="rId3"/>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B1:L22"/>
  <sheetViews>
    <sheetView showGridLines="0" workbookViewId="0" topLeftCell="A1">
      <selection activeCell="K21" sqref="K21"/>
    </sheetView>
  </sheetViews>
  <sheetFormatPr defaultColWidth="9.140625" defaultRowHeight="12.75"/>
  <cols>
    <col min="1" max="1" width="1.57421875" style="0" customWidth="1"/>
    <col min="4" max="4" width="4.28125" style="0" customWidth="1"/>
    <col min="5" max="5" width="11.57421875" style="0" bestFit="1" customWidth="1"/>
    <col min="8" max="8" width="13.57421875" style="0" customWidth="1"/>
    <col min="11" max="11" width="8.8515625" style="0" customWidth="1"/>
  </cols>
  <sheetData>
    <row r="1" spans="2:12" ht="18">
      <c r="B1" s="259" t="s">
        <v>488</v>
      </c>
      <c r="C1" s="259"/>
      <c r="D1" s="259"/>
      <c r="E1" s="259"/>
      <c r="F1" s="259"/>
      <c r="G1" s="259"/>
      <c r="H1" s="259"/>
      <c r="I1" s="259"/>
      <c r="J1" s="259"/>
      <c r="K1" s="259"/>
      <c r="L1" s="259"/>
    </row>
    <row r="3" spans="2:8" s="149" customFormat="1" ht="12.75">
      <c r="B3" s="25" t="s">
        <v>221</v>
      </c>
      <c r="H3" s="25" t="s">
        <v>244</v>
      </c>
    </row>
    <row r="4" spans="2:12" ht="12.75">
      <c r="B4" s="249" t="s">
        <v>236</v>
      </c>
      <c r="C4" s="249"/>
      <c r="D4" s="249"/>
      <c r="E4" s="216">
        <v>1</v>
      </c>
      <c r="F4" s="3" t="s">
        <v>89</v>
      </c>
      <c r="G4" s="46"/>
      <c r="H4" s="263" t="s">
        <v>455</v>
      </c>
      <c r="I4" s="263"/>
      <c r="J4" s="263"/>
      <c r="K4" s="214">
        <v>100</v>
      </c>
      <c r="L4" s="153" t="s">
        <v>245</v>
      </c>
    </row>
    <row r="5" spans="2:12" ht="12.75">
      <c r="B5" s="249" t="s">
        <v>229</v>
      </c>
      <c r="C5" s="249"/>
      <c r="D5" s="249"/>
      <c r="E5" s="216">
        <v>12</v>
      </c>
      <c r="F5" s="3" t="s">
        <v>30</v>
      </c>
      <c r="G5" s="46"/>
      <c r="H5" s="263" t="s">
        <v>456</v>
      </c>
      <c r="I5" s="263"/>
      <c r="J5" s="263"/>
      <c r="K5" s="208">
        <f>K8*2.5/Icskipd</f>
        <v>997.5550122249389</v>
      </c>
      <c r="L5" s="153" t="s">
        <v>245</v>
      </c>
    </row>
    <row r="6" spans="2:12" ht="12.75">
      <c r="B6" s="249" t="s">
        <v>230</v>
      </c>
      <c r="C6" s="249"/>
      <c r="D6" s="249"/>
      <c r="E6" s="208">
        <f>Data3!B85</f>
        <v>3.608399787347156</v>
      </c>
      <c r="F6" s="3" t="s">
        <v>89</v>
      </c>
      <c r="G6" s="46"/>
      <c r="H6" s="263" t="s">
        <v>457</v>
      </c>
      <c r="I6" s="263"/>
      <c r="J6" s="263"/>
      <c r="K6" s="219">
        <f>ROUND(K4*0.001*f,2)</f>
        <v>35</v>
      </c>
      <c r="L6" s="7"/>
    </row>
    <row r="7" spans="2:12" ht="12.75">
      <c r="B7" s="249" t="s">
        <v>231</v>
      </c>
      <c r="C7" s="249"/>
      <c r="D7" s="249"/>
      <c r="E7" s="216">
        <v>3.608399787347156</v>
      </c>
      <c r="F7" s="3" t="s">
        <v>89</v>
      </c>
      <c r="G7" s="46"/>
      <c r="H7" s="263" t="s">
        <v>251</v>
      </c>
      <c r="I7" s="263"/>
      <c r="J7" s="263"/>
      <c r="K7" s="208">
        <f>Icskipc*K4/2.5</f>
        <v>3263.9999999999995</v>
      </c>
      <c r="L7" s="7" t="s">
        <v>75</v>
      </c>
    </row>
    <row r="8" spans="2:12" ht="12.75">
      <c r="B8" s="249" t="s">
        <v>232</v>
      </c>
      <c r="C8" s="249"/>
      <c r="D8" s="249"/>
      <c r="E8" s="208">
        <f>Data3!B86</f>
        <v>11.999999999999998</v>
      </c>
      <c r="F8" s="3" t="s">
        <v>30</v>
      </c>
      <c r="G8" s="46"/>
      <c r="H8" s="263" t="s">
        <v>250</v>
      </c>
      <c r="I8" s="263"/>
      <c r="J8" s="263"/>
      <c r="K8" s="211">
        <v>3264</v>
      </c>
      <c r="L8" s="7" t="s">
        <v>75</v>
      </c>
    </row>
    <row r="9" spans="2:12" ht="12.75">
      <c r="B9" s="249" t="s">
        <v>222</v>
      </c>
      <c r="C9" s="249"/>
      <c r="D9" s="249"/>
      <c r="E9" s="214">
        <v>6</v>
      </c>
      <c r="F9" s="3" t="s">
        <v>197</v>
      </c>
      <c r="G9" s="46"/>
      <c r="I9" s="46"/>
      <c r="J9" s="46"/>
      <c r="K9" s="46"/>
      <c r="L9" s="32"/>
    </row>
    <row r="10" spans="2:8" ht="12.75">
      <c r="B10" s="249" t="s">
        <v>223</v>
      </c>
      <c r="C10" s="249"/>
      <c r="D10" s="249"/>
      <c r="E10" s="214">
        <v>0</v>
      </c>
      <c r="F10" s="3" t="s">
        <v>197</v>
      </c>
      <c r="G10" s="46"/>
      <c r="H10" s="146" t="s">
        <v>249</v>
      </c>
    </row>
    <row r="11" spans="2:12" ht="12.75">
      <c r="B11" s="249" t="s">
        <v>224</v>
      </c>
      <c r="C11" s="249"/>
      <c r="D11" s="249"/>
      <c r="E11" s="208">
        <f>f*1000*(Step5!C14+Step5!C15)*0.000001</f>
        <v>17.15</v>
      </c>
      <c r="F11" s="3" t="s">
        <v>197</v>
      </c>
      <c r="G11" s="46"/>
      <c r="H11" s="281" t="s">
        <v>458</v>
      </c>
      <c r="I11" s="282"/>
      <c r="J11" s="283"/>
      <c r="K11" s="211">
        <v>25</v>
      </c>
      <c r="L11" s="3" t="s">
        <v>492</v>
      </c>
    </row>
    <row r="12" spans="2:12" ht="12.75">
      <c r="B12" s="249" t="s">
        <v>225</v>
      </c>
      <c r="C12" s="249"/>
      <c r="D12" s="249"/>
      <c r="E12" s="208">
        <f>SUM(E9:E11)</f>
        <v>23.15</v>
      </c>
      <c r="F12" s="3" t="s">
        <v>197</v>
      </c>
      <c r="G12" s="46"/>
      <c r="H12" s="281" t="s">
        <v>459</v>
      </c>
      <c r="I12" s="282"/>
      <c r="J12" s="283"/>
      <c r="K12" s="208">
        <f>Data3!B94</f>
        <v>1.7335573203013646</v>
      </c>
      <c r="L12" s="3" t="s">
        <v>492</v>
      </c>
    </row>
    <row r="13" spans="2:12" ht="12.75">
      <c r="B13" s="109"/>
      <c r="C13" s="109"/>
      <c r="D13" s="109"/>
      <c r="E13" s="32"/>
      <c r="F13" s="46"/>
      <c r="G13" s="46"/>
      <c r="H13" s="281" t="s">
        <v>460</v>
      </c>
      <c r="I13" s="282"/>
      <c r="J13" s="283"/>
      <c r="K13" s="208">
        <f>Data3!B95</f>
        <v>0.8439838042425845</v>
      </c>
      <c r="L13" s="3" t="s">
        <v>492</v>
      </c>
    </row>
    <row r="14" spans="2:12" ht="12.75">
      <c r="B14" s="144" t="s">
        <v>226</v>
      </c>
      <c r="C14" s="109"/>
      <c r="D14" s="109"/>
      <c r="E14" s="32"/>
      <c r="F14" s="46"/>
      <c r="G14" s="46"/>
      <c r="H14" s="261" t="s">
        <v>528</v>
      </c>
      <c r="I14" s="264"/>
      <c r="J14" s="262"/>
      <c r="K14" s="218">
        <f>Data3!B93</f>
        <v>25</v>
      </c>
      <c r="L14" s="3" t="s">
        <v>492</v>
      </c>
    </row>
    <row r="15" spans="2:12" ht="12.75">
      <c r="B15" s="249" t="s">
        <v>237</v>
      </c>
      <c r="C15" s="249"/>
      <c r="D15" s="249"/>
      <c r="E15" s="217">
        <f>Data3!B87</f>
        <v>620.870681924155</v>
      </c>
      <c r="F15" s="151" t="s">
        <v>17</v>
      </c>
      <c r="G15" s="46"/>
      <c r="H15" s="281" t="s">
        <v>252</v>
      </c>
      <c r="I15" s="282"/>
      <c r="J15" s="283"/>
      <c r="K15" s="218">
        <f>(Issc*0.000001)*(K11*0.001)/3*1000000</f>
        <v>0.068</v>
      </c>
      <c r="L15" s="151" t="s">
        <v>12</v>
      </c>
    </row>
    <row r="16" spans="2:12" ht="12.75">
      <c r="B16" s="249" t="s">
        <v>227</v>
      </c>
      <c r="C16" s="249"/>
      <c r="D16" s="249"/>
      <c r="E16" s="214">
        <v>1000</v>
      </c>
      <c r="F16" s="151" t="s">
        <v>17</v>
      </c>
      <c r="G16" s="128"/>
      <c r="H16" s="261" t="s">
        <v>253</v>
      </c>
      <c r="I16" s="264"/>
      <c r="J16" s="262"/>
      <c r="K16" s="211">
        <v>0.068</v>
      </c>
      <c r="L16" s="151" t="s">
        <v>12</v>
      </c>
    </row>
    <row r="17" spans="2:12" ht="12.75">
      <c r="B17" s="249" t="s">
        <v>238</v>
      </c>
      <c r="C17" s="249"/>
      <c r="D17" s="249"/>
      <c r="E17" s="208">
        <f>Data3!B88</f>
        <v>23.95526047757365</v>
      </c>
      <c r="F17" s="3" t="s">
        <v>197</v>
      </c>
      <c r="G17" s="128"/>
      <c r="H17" s="127"/>
      <c r="I17" s="32"/>
      <c r="J17" s="32"/>
      <c r="K17" s="32"/>
      <c r="L17" s="32"/>
    </row>
    <row r="18" spans="2:8" ht="12.75">
      <c r="B18" s="249" t="s">
        <v>240</v>
      </c>
      <c r="C18" s="249"/>
      <c r="D18" s="249"/>
      <c r="E18" s="208">
        <f>E12-E17/2</f>
        <v>11.172369761213174</v>
      </c>
      <c r="F18" s="3" t="s">
        <v>197</v>
      </c>
      <c r="G18" s="128"/>
      <c r="H18" s="25" t="s">
        <v>493</v>
      </c>
    </row>
    <row r="19" spans="8:12" ht="12.75">
      <c r="H19" s="277" t="s">
        <v>489</v>
      </c>
      <c r="I19" s="280"/>
      <c r="J19" s="278"/>
      <c r="K19" s="211">
        <v>500</v>
      </c>
      <c r="L19" s="151" t="s">
        <v>491</v>
      </c>
    </row>
    <row r="20" spans="8:12" ht="12.75">
      <c r="H20" s="277" t="s">
        <v>490</v>
      </c>
      <c r="I20" s="280"/>
      <c r="J20" s="278"/>
      <c r="K20" s="211">
        <v>1.25</v>
      </c>
      <c r="L20" s="3" t="s">
        <v>30</v>
      </c>
    </row>
    <row r="21" spans="8:12" ht="12.75">
      <c r="H21" s="277" t="s">
        <v>484</v>
      </c>
      <c r="I21" s="280"/>
      <c r="J21" s="278"/>
      <c r="K21" s="218">
        <f>(Vout1-K20)/(K19*0.001)</f>
        <v>4.1</v>
      </c>
      <c r="L21" s="3" t="s">
        <v>199</v>
      </c>
    </row>
    <row r="22" spans="8:12" ht="12.75">
      <c r="H22" s="277" t="s">
        <v>485</v>
      </c>
      <c r="I22" s="280"/>
      <c r="J22" s="278"/>
      <c r="K22" s="218">
        <f>1.25/(K19*0.001)</f>
        <v>2.5</v>
      </c>
      <c r="L22" s="3" t="s">
        <v>199</v>
      </c>
    </row>
  </sheetData>
  <sheetProtection password="C582" sheet="1" objects="1" scenarios="1"/>
  <mergeCells count="29">
    <mergeCell ref="H8:J8"/>
    <mergeCell ref="H13:J13"/>
    <mergeCell ref="H19:J19"/>
    <mergeCell ref="H20:J20"/>
    <mergeCell ref="H14:J14"/>
    <mergeCell ref="B1:L1"/>
    <mergeCell ref="B4:D4"/>
    <mergeCell ref="B8:D8"/>
    <mergeCell ref="B7:D7"/>
    <mergeCell ref="B5:D5"/>
    <mergeCell ref="B6:D6"/>
    <mergeCell ref="H4:J4"/>
    <mergeCell ref="H7:J7"/>
    <mergeCell ref="H5:J5"/>
    <mergeCell ref="H6:J6"/>
    <mergeCell ref="B9:D9"/>
    <mergeCell ref="H11:J11"/>
    <mergeCell ref="B16:D16"/>
    <mergeCell ref="B10:D10"/>
    <mergeCell ref="B11:D11"/>
    <mergeCell ref="B12:D12"/>
    <mergeCell ref="B15:D15"/>
    <mergeCell ref="H12:J12"/>
    <mergeCell ref="H15:J15"/>
    <mergeCell ref="H16:J16"/>
    <mergeCell ref="H22:J22"/>
    <mergeCell ref="B17:D17"/>
    <mergeCell ref="B18:D18"/>
    <mergeCell ref="H21:J21"/>
  </mergeCells>
  <conditionalFormatting sqref="E18">
    <cfRule type="cellIs" priority="1" dxfId="1" operator="lessThan" stopIfTrue="1">
      <formula>1</formula>
    </cfRule>
  </conditionalFormatting>
  <printOptions/>
  <pageMargins left="0.75" right="0.75" top="1" bottom="1" header="0.5" footer="0.5"/>
  <pageSetup fitToHeight="1" fitToWidth="1" horizontalDpi="600" verticalDpi="600" orientation="landscape" paperSize="159" r:id="rId4"/>
  <headerFooter alignWithMargins="0">
    <oddHeader>&amp;C&amp;"Arial,Bold"&amp;12NCP1562 Design Tool</oddHeader>
    <oddFooter>&amp;L&amp;A&amp;C&amp;"Arial,Bold"&amp;12Provided by ON Semiconductor&amp;R&amp;D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 Semiconductor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NCP1562 Design Tool</dc:title>
  <dc:subject/>
  <dc:creator>ON Semiconductor</dc:creator>
  <cp:keywords/>
  <dc:description/>
  <cp:lastModifiedBy>Juan Carlos</cp:lastModifiedBy>
  <cp:lastPrinted>2006-09-05T16:36:18Z</cp:lastPrinted>
  <dcterms:created xsi:type="dcterms:W3CDTF">2004-01-28T15:31:23Z</dcterms:created>
  <dcterms:modified xsi:type="dcterms:W3CDTF">2006-11-06T16:24:06Z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