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2000" windowHeight="6285" tabRatio="601" activeTab="2"/>
  </bookViews>
  <sheets>
    <sheet name="CORE" sheetId="1" r:id="rId1"/>
    <sheet name="BOBBIN" sheetId="2" r:id="rId2"/>
    <sheet name="calculate" sheetId="3" r:id="rId3"/>
    <sheet name="BOM" sheetId="4" r:id="rId4"/>
    <sheet name="UL" sheetId="5" r:id="rId5"/>
    <sheet name="样品物料" sheetId="6" r:id="rId6"/>
    <sheet name="EI48 H18A0.35 (2)" sheetId="7" r:id="rId7"/>
    <sheet name="EI41 H18A0.5 " sheetId="8" r:id="rId8"/>
    <sheet name="EI35 H18A0.35" sheetId="9" r:id="rId9"/>
  </sheets>
  <definedNames>
    <definedName name="_xlnm._FilterDatabase" localSheetId="1" hidden="1">'BOBBIN'!$A$1:$S$1</definedName>
    <definedName name="_xlnm._FilterDatabase" localSheetId="4" hidden="1">'UL'!$A$1:$C$15</definedName>
    <definedName name="CB">'calculate'!$I$38</definedName>
    <definedName name="F" localSheetId="7">'EI41 H18A0.5 '!$B$3</definedName>
    <definedName name="F" localSheetId="6">'EI48 H18A0.35 (2)'!$B$3</definedName>
    <definedName name="F">'EI35 H18A0.35'!$B$3</definedName>
    <definedName name="FY">'calculate'!$R$36</definedName>
    <definedName name="LC" localSheetId="7">'EI41 H18A0.5 '!$D$3</definedName>
    <definedName name="LC" localSheetId="6">'EI48 H18A0.35 (2)'!$D$3</definedName>
    <definedName name="LC">'EI35 H18A0.35'!$D$3</definedName>
    <definedName name="_xlnm.Print_Area" localSheetId="3">'BOM'!$A$2:$I$49</definedName>
    <definedName name="_xlnm.Print_Area" localSheetId="2">'calculate'!$A$2:$S$64</definedName>
    <definedName name="RB">'calculate'!$H$38</definedName>
    <definedName name="SC" localSheetId="7">'EI41 H18A0.5 '!$D$2</definedName>
    <definedName name="SC" localSheetId="6">'EI48 H18A0.35 (2)'!$D$2</definedName>
    <definedName name="SC">'EI35 H18A0.35'!$D$2</definedName>
    <definedName name="T" localSheetId="7">'EI41 H18A0.5 '!$B$1</definedName>
    <definedName name="T" localSheetId="6">'EI48 H18A0.35 (2)'!$B$1</definedName>
    <definedName name="T">'EI35 H18A0.35'!$B$1</definedName>
    <definedName name="TB">'calculate'!$G$38</definedName>
    <definedName name="TI">'calculate'!$I$36</definedName>
  </definedNames>
  <calcPr fullCalcOnLoad="1"/>
</workbook>
</file>

<file path=xl/comments2.xml><?xml version="1.0" encoding="utf-8"?>
<comments xmlns="http://schemas.openxmlformats.org/spreadsheetml/2006/main">
  <authors>
    <author>td1-015</author>
  </authors>
  <commentList>
    <comment ref="A9" authorId="0">
      <text>
        <r>
          <rPr>
            <b/>
            <sz val="8"/>
            <rFont val="宋体"/>
            <family val="0"/>
          </rPr>
          <t>td1-015:</t>
        </r>
        <r>
          <rPr>
            <sz val="8"/>
            <rFont val="宋体"/>
            <family val="0"/>
          </rPr>
          <t xml:space="preserve">
MICHAEL
</t>
        </r>
      </text>
    </comment>
    <comment ref="A12" authorId="0">
      <text>
        <r>
          <rPr>
            <b/>
            <sz val="8"/>
            <rFont val="宋体"/>
            <family val="0"/>
          </rPr>
          <t>td1-015:</t>
        </r>
        <r>
          <rPr>
            <sz val="8"/>
            <rFont val="宋体"/>
            <family val="0"/>
          </rPr>
          <t xml:space="preserve">
正崧
</t>
        </r>
      </text>
    </comment>
  </commentList>
</comments>
</file>

<file path=xl/comments3.xml><?xml version="1.0" encoding="utf-8"?>
<comments xmlns="http://schemas.openxmlformats.org/spreadsheetml/2006/main">
  <authors>
    <author>td1-015</author>
  </authors>
  <commentList>
    <comment ref="F22" authorId="0">
      <text>
        <r>
          <rPr>
            <b/>
            <sz val="10"/>
            <rFont val="宋体"/>
            <family val="0"/>
          </rPr>
          <t>TOMMYHSU:</t>
        </r>
        <r>
          <rPr>
            <sz val="10"/>
            <rFont val="宋体"/>
            <family val="0"/>
          </rPr>
          <t xml:space="preserve">
type1:9002GA  TYPE2:3300HL
</t>
        </r>
      </text>
    </comment>
    <comment ref="B22" authorId="0">
      <text>
        <r>
          <rPr>
            <b/>
            <sz val="10"/>
            <rFont val="宋体"/>
            <family val="0"/>
          </rPr>
          <t>TOMMYHSU:</t>
        </r>
        <r>
          <rPr>
            <sz val="10"/>
            <rFont val="宋体"/>
            <family val="0"/>
          </rPr>
          <t xml:space="preserve">
TYPE1:8562/c;88123
type2:AC-43 ;KT-100</t>
        </r>
        <r>
          <rPr>
            <sz val="8"/>
            <rFont val="宋体"/>
            <family val="0"/>
          </rPr>
          <t xml:space="preserve">
</t>
        </r>
      </text>
    </comment>
    <comment ref="K12" authorId="0">
      <text>
        <r>
          <rPr>
            <b/>
            <sz val="10"/>
            <rFont val="宋体"/>
            <family val="0"/>
          </rPr>
          <t>TOMMYHSU:</t>
        </r>
        <r>
          <rPr>
            <sz val="10"/>
            <rFont val="宋体"/>
            <family val="0"/>
          </rPr>
          <t xml:space="preserve">
"1"工型骨架
其它王型骨架
</t>
        </r>
      </text>
    </comment>
    <comment ref="N12" authorId="0">
      <text>
        <r>
          <rPr>
            <b/>
            <sz val="10"/>
            <rFont val="宋体"/>
            <family val="0"/>
          </rPr>
          <t>TOMMYHSU:</t>
        </r>
        <r>
          <rPr>
            <sz val="10"/>
            <rFont val="宋体"/>
            <family val="0"/>
          </rPr>
          <t xml:space="preserve">
"1"漆包圆线
其它漆包扁线或铜箔</t>
        </r>
        <r>
          <rPr>
            <sz val="8"/>
            <rFont val="宋体"/>
            <family val="0"/>
          </rPr>
          <t xml:space="preserve">
</t>
        </r>
      </text>
    </comment>
    <comment ref="E20" authorId="0">
      <text>
        <r>
          <rPr>
            <b/>
            <sz val="10"/>
            <rFont val="Times New Roman"/>
            <family val="1"/>
          </rPr>
          <t xml:space="preserve">TOMMYHSU:
</t>
        </r>
        <r>
          <rPr>
            <b/>
            <sz val="10"/>
            <rFont val="宋体"/>
            <family val="0"/>
          </rPr>
          <t>设置铜箔或扁线厚度</t>
        </r>
        <r>
          <rPr>
            <sz val="8"/>
            <rFont val="宋体"/>
            <family val="0"/>
          </rPr>
          <t xml:space="preserve">
</t>
        </r>
      </text>
    </comment>
    <comment ref="E10" authorId="0">
      <text>
        <r>
          <rPr>
            <sz val="10"/>
            <rFont val="Times New Roman"/>
            <family val="1"/>
          </rPr>
          <t xml:space="preserve">TOMMYHSU:
</t>
        </r>
        <r>
          <rPr>
            <sz val="10"/>
            <rFont val="宋体"/>
            <family val="0"/>
          </rPr>
          <t>设置铜箔或扁线厚度</t>
        </r>
        <r>
          <rPr>
            <b/>
            <sz val="10"/>
            <rFont val="宋体"/>
            <family val="0"/>
          </rPr>
          <t xml:space="preserve">
</t>
        </r>
      </text>
    </comment>
    <comment ref="F20" authorId="0">
      <text>
        <r>
          <rPr>
            <b/>
            <sz val="8"/>
            <rFont val="Times New Roman"/>
            <family val="1"/>
          </rPr>
          <t xml:space="preserve">TOMMYHSU:
</t>
        </r>
        <r>
          <rPr>
            <b/>
            <sz val="8"/>
            <rFont val="宋体"/>
            <family val="0"/>
          </rPr>
          <t xml:space="preserve">设置铜箔或扁线厚度
</t>
        </r>
      </text>
    </comment>
    <comment ref="H20" authorId="0">
      <text>
        <r>
          <rPr>
            <b/>
            <sz val="8"/>
            <rFont val="Times New Roman"/>
            <family val="1"/>
          </rPr>
          <t xml:space="preserve">TOMMYHSU:
</t>
        </r>
        <r>
          <rPr>
            <b/>
            <sz val="8"/>
            <rFont val="宋体"/>
            <family val="0"/>
          </rPr>
          <t xml:space="preserve">设置铜箔或扁线厚度
</t>
        </r>
      </text>
    </comment>
    <comment ref="G20" authorId="0">
      <text>
        <r>
          <rPr>
            <b/>
            <sz val="8"/>
            <rFont val="Times New Roman"/>
            <family val="1"/>
          </rPr>
          <t xml:space="preserve">TOMMYHSU:
</t>
        </r>
        <r>
          <rPr>
            <b/>
            <sz val="8"/>
            <rFont val="宋体"/>
            <family val="0"/>
          </rPr>
          <t xml:space="preserve">设置铜箔或扁线厚度
</t>
        </r>
      </text>
    </comment>
    <comment ref="L20" authorId="0">
      <text>
        <r>
          <rPr>
            <sz val="10"/>
            <rFont val="Times New Roman"/>
            <family val="1"/>
          </rPr>
          <t xml:space="preserve">TOMMYHSU:
</t>
        </r>
        <r>
          <rPr>
            <sz val="10"/>
            <rFont val="宋体"/>
            <family val="0"/>
          </rPr>
          <t xml:space="preserve">绕组绝缘厚度
</t>
        </r>
      </text>
    </comment>
    <comment ref="L10" authorId="0">
      <text>
        <r>
          <rPr>
            <b/>
            <sz val="8"/>
            <rFont val="Times New Roman"/>
            <family val="1"/>
          </rPr>
          <t xml:space="preserve">TOMMYHSU:
</t>
        </r>
        <r>
          <rPr>
            <b/>
            <sz val="8"/>
            <rFont val="宋体"/>
            <family val="0"/>
          </rPr>
          <t xml:space="preserve">绕组绝缘厚度
</t>
        </r>
      </text>
    </comment>
    <comment ref="F11" authorId="0">
      <text>
        <r>
          <rPr>
            <b/>
            <sz val="10"/>
            <rFont val="Times New Roman"/>
            <family val="1"/>
          </rPr>
          <t>TOMMYHSU:
"1"</t>
        </r>
        <r>
          <rPr>
            <b/>
            <sz val="10"/>
            <rFont val="宋体"/>
            <family val="0"/>
          </rPr>
          <t xml:space="preserve">漆包圆线
其它漆包扁线或铜箔
</t>
        </r>
      </text>
    </comment>
    <comment ref="H12" authorId="0">
      <text>
        <r>
          <rPr>
            <b/>
            <sz val="10"/>
            <rFont val="宋体"/>
            <family val="0"/>
          </rPr>
          <t>次级电流密度</t>
        </r>
      </text>
    </comment>
    <comment ref="F5" authorId="0">
      <text>
        <r>
          <rPr>
            <b/>
            <sz val="8"/>
            <rFont val="宋体"/>
            <family val="0"/>
          </rPr>
          <t>初级电流密度</t>
        </r>
      </text>
    </comment>
    <comment ref="I20" authorId="0">
      <text>
        <r>
          <rPr>
            <b/>
            <sz val="8"/>
            <rFont val="Times New Roman"/>
            <family val="1"/>
          </rPr>
          <t xml:space="preserve">TOMMYHSU:
</t>
        </r>
        <r>
          <rPr>
            <b/>
            <sz val="8"/>
            <rFont val="宋体"/>
            <family val="0"/>
          </rPr>
          <t xml:space="preserve">设置铜箔或扁线厚度
</t>
        </r>
      </text>
    </comment>
    <comment ref="A27" authorId="0">
      <text>
        <r>
          <rPr>
            <b/>
            <sz val="8"/>
            <rFont val="宋体"/>
            <family val="0"/>
          </rPr>
          <t>td1-015:</t>
        </r>
        <r>
          <rPr>
            <sz val="8"/>
            <rFont val="宋体"/>
            <family val="0"/>
          </rPr>
          <t xml:space="preserve">
</t>
        </r>
      </text>
    </comment>
    <comment ref="G10" authorId="0">
      <text>
        <r>
          <rPr>
            <b/>
            <sz val="12"/>
            <rFont val="宋体"/>
            <family val="0"/>
          </rPr>
          <t>td1-015:</t>
        </r>
        <r>
          <rPr>
            <sz val="12"/>
            <rFont val="宋体"/>
            <family val="0"/>
          </rPr>
          <t xml:space="preserve">
自定义线径</t>
        </r>
      </text>
    </comment>
    <comment ref="L7" authorId="0">
      <text>
        <r>
          <rPr>
            <b/>
            <sz val="8"/>
            <rFont val="Times New Roman"/>
            <family val="1"/>
          </rPr>
          <t xml:space="preserve">TOMMYHSU:
</t>
        </r>
        <r>
          <rPr>
            <b/>
            <sz val="8"/>
            <rFont val="宋体"/>
            <family val="0"/>
          </rPr>
          <t xml:space="preserve">绕组绝缘厚度
</t>
        </r>
      </text>
    </comment>
    <comment ref="L14" authorId="0">
      <text>
        <r>
          <rPr>
            <sz val="10"/>
            <rFont val="Times New Roman"/>
            <family val="1"/>
          </rPr>
          <t xml:space="preserve">TOMMYHSU:
</t>
        </r>
        <r>
          <rPr>
            <sz val="10"/>
            <rFont val="宋体"/>
            <family val="0"/>
          </rPr>
          <t xml:space="preserve">绕组绝缘厚度
</t>
        </r>
      </text>
    </comment>
    <comment ref="L33" authorId="0">
      <text>
        <r>
          <rPr>
            <b/>
            <sz val="8"/>
            <rFont val="宋体"/>
            <family val="0"/>
          </rPr>
          <t>td1-015:</t>
        </r>
        <r>
          <rPr>
            <sz val="8"/>
            <rFont val="宋体"/>
            <family val="0"/>
          </rPr>
          <t xml:space="preserve">
桥架
底座
支架
L脚
其它
</t>
        </r>
      </text>
    </comment>
  </commentList>
</comments>
</file>

<file path=xl/sharedStrings.xml><?xml version="1.0" encoding="utf-8"?>
<sst xmlns="http://schemas.openxmlformats.org/spreadsheetml/2006/main" count="546" uniqueCount="453">
  <si>
    <t>型号</t>
  </si>
  <si>
    <t>规格</t>
  </si>
  <si>
    <t>A</t>
  </si>
  <si>
    <t>B</t>
  </si>
  <si>
    <t>D</t>
  </si>
  <si>
    <t>C1</t>
  </si>
  <si>
    <t>C2</t>
  </si>
  <si>
    <t>F</t>
  </si>
  <si>
    <t>H</t>
  </si>
  <si>
    <t>R</t>
  </si>
  <si>
    <t>T</t>
  </si>
  <si>
    <t>LD</t>
  </si>
  <si>
    <t>AW1</t>
  </si>
  <si>
    <t>AW2</t>
  </si>
  <si>
    <t>wire</t>
  </si>
  <si>
    <t>p</t>
  </si>
  <si>
    <t>Su</t>
  </si>
  <si>
    <t>SU</t>
  </si>
  <si>
    <t>底长</t>
  </si>
  <si>
    <r>
      <t>Bm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T</t>
    </r>
    <r>
      <rPr>
        <b/>
        <sz val="12"/>
        <rFont val="宋体"/>
        <family val="0"/>
      </rPr>
      <t>）</t>
    </r>
  </si>
  <si>
    <t>电压</t>
  </si>
  <si>
    <t>电流</t>
  </si>
  <si>
    <t>排绕系数</t>
  </si>
  <si>
    <t>叠绕系数</t>
  </si>
  <si>
    <t>层数</t>
  </si>
  <si>
    <t>DCR@20</t>
  </si>
  <si>
    <t>DCR@H</t>
  </si>
  <si>
    <r>
      <t>铜重</t>
    </r>
    <r>
      <rPr>
        <sz val="12"/>
        <rFont val="Times New Roman"/>
        <family val="1"/>
      </rPr>
      <t>(G)</t>
    </r>
  </si>
  <si>
    <t>压降</t>
  </si>
  <si>
    <t>稳态电压</t>
  </si>
  <si>
    <t>铜损耗</t>
  </si>
  <si>
    <t>总厚</t>
  </si>
  <si>
    <r>
      <t>总重量</t>
    </r>
    <r>
      <rPr>
        <sz val="12"/>
        <rFont val="Times New Roman"/>
        <family val="1"/>
      </rPr>
      <t>(G)</t>
    </r>
  </si>
  <si>
    <t>总损耗</t>
  </si>
  <si>
    <t>aw1(mm2)</t>
  </si>
  <si>
    <t>槽1宽(mm)</t>
  </si>
  <si>
    <t>Io(Ma)</t>
  </si>
  <si>
    <t>Sc(cm2)</t>
  </si>
  <si>
    <t>匝长</t>
  </si>
  <si>
    <r>
      <t>槽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宽</t>
    </r>
    <r>
      <rPr>
        <b/>
        <sz val="10"/>
        <rFont val="Times New Roman"/>
        <family val="1"/>
      </rPr>
      <t>(mm)</t>
    </r>
  </si>
  <si>
    <t>I</t>
  </si>
  <si>
    <r>
      <t>层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匝</t>
    </r>
  </si>
  <si>
    <t>厚度</t>
  </si>
  <si>
    <t>铁芯尺寸</t>
  </si>
  <si>
    <t>舌宽</t>
  </si>
  <si>
    <t>功率</t>
  </si>
  <si>
    <t>规格</t>
  </si>
  <si>
    <t>铁重</t>
  </si>
  <si>
    <t>le:</t>
  </si>
  <si>
    <r>
      <t>F</t>
    </r>
    <r>
      <rPr>
        <b/>
        <sz val="12"/>
        <rFont val="宋体"/>
        <family val="0"/>
      </rPr>
      <t>（H</t>
    </r>
    <r>
      <rPr>
        <b/>
        <sz val="12"/>
        <rFont val="Times New Roman"/>
        <family val="1"/>
      </rPr>
      <t>z</t>
    </r>
    <r>
      <rPr>
        <b/>
        <sz val="12"/>
        <rFont val="宋体"/>
        <family val="0"/>
      </rPr>
      <t>）</t>
    </r>
  </si>
  <si>
    <t>CM</t>
  </si>
  <si>
    <t>客户：</t>
  </si>
  <si>
    <t>我方料号</t>
  </si>
  <si>
    <t>产品型号</t>
  </si>
  <si>
    <t>骨架</t>
  </si>
  <si>
    <t>EI2811</t>
  </si>
  <si>
    <t>ITEM</t>
  </si>
  <si>
    <t>A</t>
  </si>
  <si>
    <t>B</t>
  </si>
  <si>
    <t>C</t>
  </si>
  <si>
    <t>D</t>
  </si>
  <si>
    <t>E</t>
  </si>
  <si>
    <t>F</t>
  </si>
  <si>
    <t>U</t>
  </si>
  <si>
    <t>V</t>
  </si>
  <si>
    <t>W</t>
  </si>
  <si>
    <t>X</t>
  </si>
  <si>
    <t>Y</t>
  </si>
  <si>
    <t>LE</t>
  </si>
  <si>
    <t>EI14</t>
  </si>
  <si>
    <t>EI16</t>
  </si>
  <si>
    <t>EI19</t>
  </si>
  <si>
    <t>EI24</t>
  </si>
  <si>
    <t>EI28</t>
  </si>
  <si>
    <t>EI13350</t>
  </si>
  <si>
    <t>Sec-J</t>
  </si>
  <si>
    <r>
      <t>Pri-</t>
    </r>
    <r>
      <rPr>
        <sz val="12"/>
        <rFont val="宋体"/>
        <family val="0"/>
      </rPr>
      <t>J</t>
    </r>
  </si>
  <si>
    <t>类型</t>
  </si>
  <si>
    <t>EI7628</t>
  </si>
  <si>
    <t>SU1</t>
  </si>
  <si>
    <t>SU2</t>
  </si>
  <si>
    <t>SU3</t>
  </si>
  <si>
    <t>SU4</t>
  </si>
  <si>
    <t>SU5</t>
  </si>
  <si>
    <t>最高温升℃</t>
  </si>
  <si>
    <t>环境温度℃</t>
  </si>
  <si>
    <t>EI25*7</t>
  </si>
  <si>
    <t>EI41*13.5</t>
  </si>
  <si>
    <t>EI41</t>
  </si>
  <si>
    <t>绝缘</t>
  </si>
  <si>
    <t>EI30*12</t>
  </si>
  <si>
    <t>EI30</t>
  </si>
  <si>
    <t>EI30*23</t>
  </si>
  <si>
    <t>客户编号</t>
  </si>
  <si>
    <t>初级功率</t>
  </si>
  <si>
    <t>转换效率</t>
  </si>
  <si>
    <t>电压调整率</t>
  </si>
  <si>
    <t>EI7630</t>
  </si>
  <si>
    <t>ei48*16.5</t>
  </si>
  <si>
    <t>叠片系数</t>
  </si>
  <si>
    <t>SU0</t>
  </si>
  <si>
    <t>黑胶</t>
  </si>
  <si>
    <t>绝缘漆</t>
  </si>
  <si>
    <t>物料清单（低頻类）</t>
  </si>
  <si>
    <r>
      <t>客户</t>
    </r>
    <r>
      <rPr>
        <sz val="12"/>
        <rFont val="Times New Roman"/>
        <family val="1"/>
      </rPr>
      <t>P/N:</t>
    </r>
  </si>
  <si>
    <r>
      <t>可立克</t>
    </r>
    <r>
      <rPr>
        <sz val="12"/>
        <rFont val="Times New Roman"/>
        <family val="1"/>
      </rPr>
      <t>P/N:</t>
    </r>
  </si>
  <si>
    <t>材料名称</t>
  </si>
  <si>
    <t>规格要求说明</t>
  </si>
  <si>
    <t>单位</t>
  </si>
  <si>
    <r>
      <t>用量</t>
    </r>
    <r>
      <rPr>
        <sz val="12"/>
        <rFont val="Times New Roman"/>
        <family val="1"/>
      </rPr>
      <t>/PCS</t>
    </r>
  </si>
  <si>
    <t>供应商</t>
  </si>
  <si>
    <t>单价</t>
  </si>
  <si>
    <t>克</t>
  </si>
  <si>
    <t>铁芯</t>
  </si>
  <si>
    <t>个</t>
  </si>
  <si>
    <t>引线</t>
  </si>
  <si>
    <t>条</t>
  </si>
  <si>
    <t>温度保险丝</t>
  </si>
  <si>
    <t>块巴纸</t>
  </si>
  <si>
    <r>
      <t>螺杆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螺母</t>
    </r>
  </si>
  <si>
    <t>套</t>
  </si>
  <si>
    <t>金属垫片</t>
  </si>
  <si>
    <t>绝缘垫片</t>
  </si>
  <si>
    <t>绝缘胶带</t>
  </si>
  <si>
    <t>米</t>
  </si>
  <si>
    <t>套管</t>
  </si>
  <si>
    <t>环氧胶</t>
  </si>
  <si>
    <t>绝缘漆</t>
  </si>
  <si>
    <t>稀释剂</t>
  </si>
  <si>
    <t>锡条</t>
  </si>
  <si>
    <t>助焊剂</t>
  </si>
  <si>
    <t>标签</t>
  </si>
  <si>
    <t>总成本</t>
  </si>
  <si>
    <t>材料费：</t>
  </si>
  <si>
    <t>包装费：</t>
  </si>
  <si>
    <r>
      <t>拟定</t>
    </r>
    <r>
      <rPr>
        <sz val="12"/>
        <rFont val="Times New Roman"/>
        <family val="1"/>
      </rPr>
      <t>:</t>
    </r>
  </si>
  <si>
    <t>徐万军</t>
  </si>
  <si>
    <r>
      <t>审查</t>
    </r>
    <r>
      <rPr>
        <sz val="12"/>
        <rFont val="Times New Roman"/>
        <family val="1"/>
      </rPr>
      <t>:</t>
    </r>
  </si>
  <si>
    <r>
      <t>批准</t>
    </r>
    <r>
      <rPr>
        <sz val="12"/>
        <rFont val="Times New Roman"/>
        <family val="1"/>
      </rPr>
      <t>:</t>
    </r>
  </si>
  <si>
    <r>
      <t>客户名称</t>
    </r>
    <r>
      <rPr>
        <sz val="12"/>
        <rFont val="Times New Roman"/>
        <family val="1"/>
      </rPr>
      <t xml:space="preserve">:  </t>
    </r>
  </si>
  <si>
    <r>
      <t>日期</t>
    </r>
    <r>
      <rPr>
        <sz val="12"/>
        <rFont val="Times New Roman"/>
        <family val="1"/>
      </rPr>
      <t>:</t>
    </r>
  </si>
  <si>
    <t>辅料计算表</t>
  </si>
  <si>
    <t>NO.</t>
  </si>
  <si>
    <t>宽度</t>
  </si>
  <si>
    <t>总层数</t>
  </si>
  <si>
    <t>长度</t>
  </si>
  <si>
    <t>重量</t>
  </si>
  <si>
    <t>名称</t>
  </si>
  <si>
    <t>颜色</t>
  </si>
  <si>
    <t>NOMEX</t>
  </si>
  <si>
    <t>KRAFT PAPER</t>
  </si>
  <si>
    <t>FISH PAPER</t>
  </si>
  <si>
    <t>快巴纸</t>
  </si>
  <si>
    <t>青壳纸</t>
  </si>
  <si>
    <t>锡</t>
  </si>
  <si>
    <r>
      <t>高温无铅锡条</t>
    </r>
    <r>
      <rPr>
        <sz val="11"/>
        <rFont val="Times New Roman"/>
        <family val="1"/>
      </rPr>
      <t>:Sn-0.7Cu</t>
    </r>
  </si>
  <si>
    <t>高温无铅锡条:Sn-0.7Cu</t>
  </si>
  <si>
    <r>
      <t>tf-328B1</t>
    </r>
    <r>
      <rPr>
        <sz val="11"/>
        <rFont val="宋体"/>
        <family val="0"/>
      </rPr>
      <t>同方无铅助焊剂</t>
    </r>
  </si>
  <si>
    <t>比重</t>
  </si>
  <si>
    <t>米</t>
  </si>
  <si>
    <t>克</t>
  </si>
  <si>
    <t>tf-328B1同方无铅助焊剂</t>
  </si>
  <si>
    <t>UI43*14.5</t>
  </si>
  <si>
    <t>JSB-14A</t>
  </si>
  <si>
    <t>HI</t>
  </si>
  <si>
    <t>材质</t>
  </si>
  <si>
    <t>EI76*42.5vde</t>
  </si>
  <si>
    <t>01-76425B1/C1</t>
  </si>
  <si>
    <t>EI66*35.5</t>
  </si>
  <si>
    <t>01-66355B4</t>
  </si>
  <si>
    <t>/</t>
  </si>
  <si>
    <t>EI19B</t>
  </si>
  <si>
    <t>EI57*25.5</t>
  </si>
  <si>
    <t>JSB-51 (PIN N0.04)</t>
  </si>
  <si>
    <t>70*94</t>
  </si>
  <si>
    <t>ei48*16.5</t>
  </si>
  <si>
    <t>JSB54A</t>
  </si>
  <si>
    <t>LBS</t>
  </si>
  <si>
    <r>
      <t>外壳</t>
    </r>
    <r>
      <rPr>
        <sz val="11"/>
        <rFont val="Times New Roman"/>
        <family val="1"/>
      </rPr>
      <t>CASE</t>
    </r>
  </si>
  <si>
    <t>功率</t>
  </si>
  <si>
    <t>Sc(cm)</t>
  </si>
  <si>
    <t>Sw</t>
  </si>
  <si>
    <t>b/a</t>
  </si>
  <si>
    <t>h/c</t>
  </si>
  <si>
    <t>c/a</t>
  </si>
  <si>
    <t>a</t>
  </si>
  <si>
    <t>b</t>
  </si>
  <si>
    <t>c</t>
  </si>
  <si>
    <t>h</t>
  </si>
  <si>
    <t>TURNS</t>
  </si>
  <si>
    <t>WIRE</t>
  </si>
  <si>
    <t>U0</t>
  </si>
  <si>
    <t>B0</t>
  </si>
  <si>
    <t>EI</t>
  </si>
  <si>
    <t>SC</t>
  </si>
  <si>
    <t>CM2</t>
  </si>
  <si>
    <t>Lc</t>
  </si>
  <si>
    <t>F(Hz)</t>
  </si>
  <si>
    <t>EI48*26.2</t>
  </si>
  <si>
    <r>
      <t>N-0186(</t>
    </r>
    <r>
      <rPr>
        <sz val="12"/>
        <rFont val="宋体"/>
        <family val="0"/>
      </rPr>
      <t>适配器</t>
    </r>
    <r>
      <rPr>
        <sz val="12"/>
        <rFont val="Times New Roman"/>
        <family val="1"/>
      </rPr>
      <t>)</t>
    </r>
  </si>
  <si>
    <t>35*13.5</t>
  </si>
  <si>
    <t>39SHEET</t>
  </si>
  <si>
    <t>I0(Ma)</t>
  </si>
  <si>
    <t>AT/cm</t>
  </si>
  <si>
    <t>Ue</t>
  </si>
  <si>
    <t>H18A0.35</t>
  </si>
  <si>
    <t>EI105*70</t>
  </si>
  <si>
    <t>SHOULDER</t>
  </si>
  <si>
    <t>CM4</t>
  </si>
  <si>
    <t>TURNS</t>
  </si>
  <si>
    <t>EI</t>
  </si>
  <si>
    <t>WIRE</t>
  </si>
  <si>
    <t>SC</t>
  </si>
  <si>
    <t>CM2</t>
  </si>
  <si>
    <t>F(Hz)</t>
  </si>
  <si>
    <t>Lc</t>
  </si>
  <si>
    <t>CM</t>
  </si>
  <si>
    <t>U0</t>
  </si>
  <si>
    <t>B0</t>
  </si>
  <si>
    <t>I0(Ma)</t>
  </si>
  <si>
    <t>AT/cm</t>
  </si>
  <si>
    <t>Ue</t>
  </si>
  <si>
    <t>41*20.5</t>
  </si>
  <si>
    <t>H18A0.5</t>
  </si>
  <si>
    <t>TURNS</t>
  </si>
  <si>
    <t>EI</t>
  </si>
  <si>
    <t>H18A0.35</t>
  </si>
  <si>
    <t>39SHEET</t>
  </si>
  <si>
    <t>WIRE</t>
  </si>
  <si>
    <t>SC</t>
  </si>
  <si>
    <t>CM2</t>
  </si>
  <si>
    <t>F(Hz)</t>
  </si>
  <si>
    <t>Lc</t>
  </si>
  <si>
    <t>CM</t>
  </si>
  <si>
    <t>U0</t>
  </si>
  <si>
    <t>B0</t>
  </si>
  <si>
    <t>I0(Ma)</t>
  </si>
  <si>
    <t>AT/cm</t>
  </si>
  <si>
    <t>Ue</t>
  </si>
  <si>
    <t>48*17</t>
  </si>
  <si>
    <t>ei66*26.5</t>
  </si>
  <si>
    <t>This year is a year of change for Rubadue Wire. New Organization, New Logo,</t>
  </si>
  <si>
    <t>New Management, New Vision, New Capacity. We have a New Commitment to</t>
  </si>
  <si>
    <t>working as a team within our own Organization and with our Customers and</t>
  </si>
  <si>
    <t>Vendors. Realizing the tremendous value our employees bring to the market.</t>
  </si>
  <si>
    <t>One thing at Rubadue Wire will not change our dedication to deliver only the</t>
  </si>
  <si>
    <t>highest quality products</t>
  </si>
  <si>
    <t>EI25*7</t>
  </si>
  <si>
    <r>
      <t>窗口面积</t>
    </r>
    <r>
      <rPr>
        <sz val="11"/>
        <rFont val="Times New Roman"/>
        <family val="1"/>
      </rPr>
      <t>(mm2)</t>
    </r>
  </si>
  <si>
    <r>
      <t>槽深</t>
    </r>
    <r>
      <rPr>
        <sz val="10"/>
        <rFont val="Times New Roman"/>
        <family val="1"/>
      </rPr>
      <t>(mm)</t>
    </r>
  </si>
  <si>
    <t>ei19*5</t>
  </si>
  <si>
    <t>N-003,7B.DEI.3013X-003</t>
  </si>
  <si>
    <t>EI28*16</t>
  </si>
  <si>
    <t>EI28*16</t>
  </si>
  <si>
    <t>N-0029</t>
  </si>
  <si>
    <t>ERA Brand</t>
  </si>
  <si>
    <t>EI20</t>
  </si>
  <si>
    <t xml:space="preserve">                    </t>
  </si>
  <si>
    <t>EI41*38.4</t>
  </si>
  <si>
    <t>JSB-07 41*39-B</t>
  </si>
  <si>
    <t>/</t>
  </si>
  <si>
    <t>/</t>
  </si>
  <si>
    <t>JuneHsu</t>
  </si>
  <si>
    <r>
      <t>最大输出功率（</t>
    </r>
    <r>
      <rPr>
        <sz val="12"/>
        <color indexed="10"/>
        <rFont val="Times New Roman"/>
        <family val="1"/>
      </rPr>
      <t>Pmax</t>
    </r>
    <r>
      <rPr>
        <sz val="12"/>
        <color indexed="10"/>
        <rFont val="宋体"/>
        <family val="0"/>
      </rPr>
      <t>）：</t>
    </r>
  </si>
  <si>
    <t>次绕组</t>
  </si>
  <si>
    <t>数量</t>
  </si>
  <si>
    <t>NORATEL</t>
  </si>
  <si>
    <t>PACIFIC ELECTRIC WIRE &amp; CABLE (SHENZHEN) CO LTD</t>
  </si>
  <si>
    <t>E201757</t>
  </si>
  <si>
    <t>供应商</t>
  </si>
  <si>
    <r>
      <t>UL NO</t>
    </r>
    <r>
      <rPr>
        <sz val="12"/>
        <rFont val="宋体"/>
        <family val="0"/>
      </rPr>
      <t>。</t>
    </r>
  </si>
  <si>
    <t>WAN MON INDUSTRIAL CORP</t>
  </si>
  <si>
    <t>E104091</t>
  </si>
  <si>
    <t>TA WIN INDUSTRIES (M) SDN BHD</t>
  </si>
  <si>
    <t>E152187</t>
  </si>
  <si>
    <t>HUNG HSANG WIRE MFG CO LTD</t>
  </si>
  <si>
    <t>E158025</t>
  </si>
  <si>
    <t>FENG CHING METAL CORP</t>
  </si>
  <si>
    <t>E172395</t>
  </si>
  <si>
    <t>类别</t>
  </si>
  <si>
    <t>漆包线</t>
  </si>
  <si>
    <t>绝缘漆</t>
  </si>
  <si>
    <t>HANG CHEUNG PETROCHEMICAL LTD</t>
  </si>
  <si>
    <t>E200154</t>
  </si>
  <si>
    <t>JOHN C DOLPH CO</t>
  </si>
  <si>
    <t>E76517</t>
  </si>
  <si>
    <t>3M COMPANY</t>
  </si>
  <si>
    <t>E17385</t>
  </si>
  <si>
    <t>绝缘胶带</t>
  </si>
  <si>
    <t>BONDTEC PACIFIC CO LTD</t>
  </si>
  <si>
    <t>E175868</t>
  </si>
  <si>
    <t>JINGJIANG YAHUA PRESSURE SENSITIVE GLUE CO LTD</t>
  </si>
  <si>
    <t>E165111</t>
  </si>
  <si>
    <t>NITTO DENKO CORP</t>
  </si>
  <si>
    <t>E34833</t>
  </si>
  <si>
    <t>DUCK SUNG HITECH CO LTD</t>
  </si>
  <si>
    <t>E105147</t>
  </si>
  <si>
    <t>E I DUPONT DE NEMOURS &amp; CO INC</t>
  </si>
  <si>
    <t>E41938</t>
  </si>
  <si>
    <t>BOBBIN</t>
  </si>
  <si>
    <t>SOLUTIA INC</t>
  </si>
  <si>
    <t>E70062</t>
  </si>
  <si>
    <t>类别</t>
  </si>
  <si>
    <t>材料描述</t>
  </si>
  <si>
    <t>申请日期</t>
  </si>
  <si>
    <t>到料日期</t>
  </si>
  <si>
    <t>回答日期</t>
  </si>
  <si>
    <t>产品</t>
  </si>
  <si>
    <t>产品客户</t>
  </si>
  <si>
    <t>BOBBIN</t>
  </si>
  <si>
    <t>EI14*5</t>
  </si>
  <si>
    <t>N-0001</t>
  </si>
  <si>
    <r>
      <t>电木</t>
    </r>
    <r>
      <rPr>
        <sz val="12"/>
        <rFont val="Times New Roman"/>
        <family val="1"/>
      </rPr>
      <t>3+3PIN</t>
    </r>
  </si>
  <si>
    <t>南吉达</t>
  </si>
  <si>
    <t>TI066084/5</t>
  </si>
  <si>
    <t>EI28*16</t>
  </si>
  <si>
    <t>COVER</t>
  </si>
  <si>
    <t>NORATEL</t>
  </si>
  <si>
    <t>N-0029</t>
  </si>
  <si>
    <t>PET FR530(blk)</t>
  </si>
  <si>
    <t>PBT 4115(blk)</t>
  </si>
  <si>
    <t>剥皮</t>
  </si>
  <si>
    <t>端子</t>
  </si>
  <si>
    <t>安全装置</t>
  </si>
  <si>
    <t xml:space="preserve"> </t>
  </si>
  <si>
    <r>
      <t>Pri</t>
    </r>
    <r>
      <rPr>
        <sz val="12"/>
        <rFont val="宋体"/>
        <family val="0"/>
      </rPr>
      <t>匝数</t>
    </r>
  </si>
  <si>
    <r>
      <t>Sec</t>
    </r>
    <r>
      <rPr>
        <b/>
        <sz val="12"/>
        <rFont val="宋体"/>
        <family val="0"/>
      </rPr>
      <t>匝数</t>
    </r>
  </si>
  <si>
    <t>叠厚</t>
  </si>
  <si>
    <t>工序</t>
  </si>
  <si>
    <t>人工</t>
  </si>
  <si>
    <t>机器</t>
  </si>
  <si>
    <t>工序参数</t>
  </si>
  <si>
    <t>放宽率</t>
  </si>
  <si>
    <t>%</t>
  </si>
  <si>
    <t>工时</t>
  </si>
  <si>
    <t>S</t>
  </si>
  <si>
    <t>N2</t>
  </si>
  <si>
    <t>N3</t>
  </si>
  <si>
    <t>挂脚</t>
  </si>
  <si>
    <t>出线</t>
  </si>
  <si>
    <t>上端子</t>
  </si>
  <si>
    <t>上锡</t>
  </si>
  <si>
    <r>
      <t>测</t>
    </r>
    <r>
      <rPr>
        <sz val="12"/>
        <rFont val="宋体"/>
        <family val="0"/>
      </rPr>
      <t>圈</t>
    </r>
  </si>
  <si>
    <t>测电阻</t>
  </si>
  <si>
    <t>装铁芯</t>
  </si>
  <si>
    <t>包胶带</t>
  </si>
  <si>
    <t>上支架</t>
  </si>
  <si>
    <t>空测</t>
  </si>
  <si>
    <t>耐压</t>
  </si>
  <si>
    <t>电阻</t>
  </si>
  <si>
    <t>浸漆</t>
  </si>
  <si>
    <t>外观</t>
  </si>
  <si>
    <t>贴标</t>
  </si>
  <si>
    <t>电压</t>
  </si>
  <si>
    <t>综测</t>
  </si>
  <si>
    <t>N4</t>
  </si>
  <si>
    <t>N5</t>
  </si>
  <si>
    <t>N6</t>
  </si>
  <si>
    <t>N7</t>
  </si>
  <si>
    <t>SPEC</t>
  </si>
  <si>
    <t>QTY</t>
  </si>
  <si>
    <t>ML</t>
  </si>
  <si>
    <t>包胶带</t>
  </si>
  <si>
    <r>
      <t>作业速率</t>
    </r>
    <r>
      <rPr>
        <sz val="12"/>
        <rFont val="Times New Roman"/>
        <family val="1"/>
      </rPr>
      <t>Ps/min</t>
    </r>
  </si>
  <si>
    <r>
      <t xml:space="preserve"> </t>
    </r>
    <r>
      <rPr>
        <sz val="12"/>
        <rFont val="宋体"/>
        <family val="0"/>
      </rPr>
      <t>排拉人数</t>
    </r>
  </si>
  <si>
    <t>工作制</t>
  </si>
  <si>
    <t>日产量</t>
  </si>
  <si>
    <t>定单量</t>
  </si>
  <si>
    <t>交期</t>
  </si>
  <si>
    <t>总需时</t>
  </si>
  <si>
    <t>人数</t>
  </si>
  <si>
    <t>合计</t>
  </si>
  <si>
    <t>日成品量</t>
  </si>
  <si>
    <t>人工费</t>
  </si>
  <si>
    <t>人工小时费</t>
  </si>
  <si>
    <t>产能排拉工时工价核算表</t>
  </si>
  <si>
    <t>N1</t>
  </si>
  <si>
    <r>
      <t>制造费</t>
    </r>
    <r>
      <rPr>
        <sz val="11"/>
        <rFont val="Times New Roman"/>
        <family val="1"/>
      </rPr>
      <t>:</t>
    </r>
  </si>
  <si>
    <t>电子线</t>
  </si>
  <si>
    <t>18AWG</t>
  </si>
  <si>
    <t>UL1015</t>
  </si>
  <si>
    <t>位置</t>
  </si>
  <si>
    <t>样品房</t>
  </si>
  <si>
    <r>
      <t>1#</t>
    </r>
    <r>
      <rPr>
        <sz val="12"/>
        <rFont val="宋体"/>
        <family val="0"/>
      </rPr>
      <t>箱</t>
    </r>
  </si>
  <si>
    <t>EI54*48.8</t>
  </si>
  <si>
    <t>EI54/18.8 gSe Art Nr:26409.7</t>
  </si>
  <si>
    <t>EI54*48.9</t>
  </si>
  <si>
    <t>COVER 71071.4 48*56.8*39.1</t>
  </si>
  <si>
    <t>GLASS FIBRE REINFORCED</t>
  </si>
  <si>
    <t>plastic</t>
  </si>
  <si>
    <r>
      <t xml:space="preserve">PBT </t>
    </r>
    <r>
      <rPr>
        <sz val="12"/>
        <rFont val="宋体"/>
        <family val="0"/>
      </rPr>
      <t>玻璃纤维加强料</t>
    </r>
  </si>
  <si>
    <t>铁芯片</t>
  </si>
  <si>
    <t>EI76</t>
  </si>
  <si>
    <t>H18 0.5A 6H</t>
  </si>
  <si>
    <t>EI38</t>
  </si>
  <si>
    <t>EI38*13.6 OD</t>
  </si>
  <si>
    <t>GAP</t>
  </si>
  <si>
    <t>Inductance</t>
  </si>
  <si>
    <t>Uh</t>
  </si>
  <si>
    <t>AC-43</t>
  </si>
  <si>
    <t>软铜箔</t>
  </si>
  <si>
    <t>23009.7 PET</t>
  </si>
  <si>
    <t>0. 2 FOIL</t>
  </si>
  <si>
    <r>
      <t>支架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夹框</t>
    </r>
  </si>
  <si>
    <t>安装方式</t>
  </si>
  <si>
    <r>
      <t>过流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温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保护</t>
    </r>
  </si>
  <si>
    <t>氩焊</t>
  </si>
  <si>
    <t>螺丝</t>
  </si>
  <si>
    <t>垫圈</t>
  </si>
  <si>
    <r>
      <t>note:</t>
    </r>
    <r>
      <rPr>
        <b/>
        <sz val="12"/>
        <color indexed="10"/>
        <rFont val="宋体"/>
        <family val="0"/>
      </rPr>
      <t>注意红色项相关内容的修正</t>
    </r>
    <r>
      <rPr>
        <b/>
        <sz val="12"/>
        <color indexed="10"/>
        <rFont val="Times New Roman"/>
        <family val="1"/>
      </rPr>
      <t>!!!</t>
    </r>
  </si>
  <si>
    <t>铁损</t>
  </si>
  <si>
    <t>w/kg</t>
  </si>
  <si>
    <r>
      <t>NOTE:</t>
    </r>
    <r>
      <rPr>
        <b/>
        <sz val="16"/>
        <color indexed="10"/>
        <rFont val="宋体"/>
        <family val="0"/>
      </rPr>
      <t>请注意上次工作内容的清除</t>
    </r>
    <r>
      <rPr>
        <b/>
        <sz val="16"/>
        <color indexed="10"/>
        <rFont val="Times New Roman"/>
        <family val="1"/>
      </rPr>
      <t>!UI</t>
    </r>
    <r>
      <rPr>
        <b/>
        <sz val="16"/>
        <color indexed="10"/>
        <rFont val="宋体"/>
        <family val="0"/>
      </rPr>
      <t>产品数据为双层数据！！产品型号</t>
    </r>
    <r>
      <rPr>
        <b/>
        <sz val="16"/>
        <color indexed="10"/>
        <rFont val="Times New Roman"/>
        <family val="1"/>
      </rPr>
      <t>,</t>
    </r>
    <r>
      <rPr>
        <b/>
        <sz val="16"/>
        <color indexed="10"/>
        <rFont val="宋体"/>
        <family val="0"/>
      </rPr>
      <t>客户</t>
    </r>
    <r>
      <rPr>
        <b/>
        <sz val="16"/>
        <color indexed="10"/>
        <rFont val="Times New Roman"/>
        <family val="1"/>
      </rPr>
      <t>,</t>
    </r>
    <r>
      <rPr>
        <b/>
        <sz val="16"/>
        <color indexed="10"/>
        <rFont val="宋体"/>
        <family val="0"/>
      </rPr>
      <t>名称</t>
    </r>
    <r>
      <rPr>
        <b/>
        <sz val="16"/>
        <color indexed="10"/>
        <rFont val="Times New Roman"/>
        <family val="1"/>
      </rPr>
      <t>,</t>
    </r>
    <r>
      <rPr>
        <b/>
        <sz val="16"/>
        <color indexed="10"/>
        <rFont val="宋体"/>
        <family val="0"/>
      </rPr>
      <t>编号</t>
    </r>
    <r>
      <rPr>
        <b/>
        <sz val="16"/>
        <color indexed="10"/>
        <rFont val="Times New Roman"/>
        <family val="1"/>
      </rPr>
      <t>,</t>
    </r>
    <r>
      <rPr>
        <b/>
        <sz val="16"/>
        <color indexed="10"/>
        <rFont val="宋体"/>
        <family val="0"/>
      </rPr>
      <t>材质</t>
    </r>
    <r>
      <rPr>
        <b/>
        <sz val="16"/>
        <color indexed="10"/>
        <rFont val="Times New Roman"/>
        <family val="1"/>
      </rPr>
      <t>,</t>
    </r>
    <r>
      <rPr>
        <b/>
        <sz val="16"/>
        <color indexed="10"/>
        <rFont val="宋体"/>
        <family val="0"/>
      </rPr>
      <t>电压电流</t>
    </r>
    <r>
      <rPr>
        <b/>
        <sz val="16"/>
        <color indexed="10"/>
        <rFont val="Times New Roman"/>
        <family val="1"/>
      </rPr>
      <t>,</t>
    </r>
    <r>
      <rPr>
        <b/>
        <sz val="16"/>
        <color indexed="10"/>
        <rFont val="宋体"/>
        <family val="0"/>
      </rPr>
      <t>等</t>
    </r>
    <r>
      <rPr>
        <b/>
        <sz val="16"/>
        <color indexed="10"/>
        <rFont val="Times New Roman"/>
        <family val="1"/>
      </rPr>
      <t>!!</t>
    </r>
  </si>
  <si>
    <t>UI30</t>
  </si>
  <si>
    <t>EI-114</t>
  </si>
  <si>
    <t>UI30</t>
  </si>
  <si>
    <t>UI39</t>
  </si>
  <si>
    <t>UI39</t>
  </si>
  <si>
    <t xml:space="preserve">EI35*14 </t>
  </si>
  <si>
    <t>N-0068 N-0067 WITH COVER</t>
  </si>
  <si>
    <t>EI</t>
  </si>
  <si>
    <t>EI35</t>
  </si>
  <si>
    <t>8PIN (N-0126) WITH COVER</t>
  </si>
  <si>
    <t>EI41*17</t>
  </si>
  <si>
    <t>Jsb-54A 8PIN 5/10*25.4</t>
  </si>
  <si>
    <t>EI41*16.5(B01000346)</t>
  </si>
  <si>
    <t>EI120*50.7</t>
  </si>
  <si>
    <t>3M#56</t>
  </si>
  <si>
    <t>M6*60</t>
  </si>
  <si>
    <t>M6</t>
  </si>
  <si>
    <t>TS4</t>
  </si>
  <si>
    <t>PCS</t>
  </si>
  <si>
    <t>接线卡座</t>
  </si>
  <si>
    <t>接线片</t>
  </si>
  <si>
    <t>(N-0126 ei41*17)</t>
  </si>
  <si>
    <t>JSB-54A</t>
  </si>
  <si>
    <t>EI41*16.5</t>
  </si>
  <si>
    <t>N-0126</t>
  </si>
  <si>
    <t>BOBBIN</t>
  </si>
  <si>
    <r>
      <t xml:space="preserve">M4*75  </t>
    </r>
    <r>
      <rPr>
        <sz val="12"/>
        <rFont val="宋体"/>
        <family val="0"/>
      </rPr>
      <t>螺丝</t>
    </r>
  </si>
  <si>
    <t>EI66*16.5</t>
  </si>
  <si>
    <t xml:space="preserve">B.DEI.6617X-001(jsb54A </t>
  </si>
  <si>
    <t>EI66*16.5</t>
  </si>
  <si>
    <t>H18L</t>
  </si>
  <si>
    <t>3M#44</t>
  </si>
  <si>
    <t>EI66 H18</t>
  </si>
  <si>
    <t>正崧</t>
  </si>
  <si>
    <r>
      <t>FR530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JSB-54A</t>
    </r>
    <r>
      <rPr>
        <sz val="10"/>
        <rFont val="宋体"/>
        <family val="0"/>
      </rPr>
      <t>）</t>
    </r>
  </si>
  <si>
    <r>
      <t xml:space="preserve"> </t>
    </r>
    <r>
      <rPr>
        <sz val="11"/>
        <rFont val="宋体"/>
        <family val="0"/>
      </rPr>
      <t>白底黑字</t>
    </r>
    <r>
      <rPr>
        <sz val="11"/>
        <rFont val="Times New Roman"/>
        <family val="1"/>
      </rPr>
      <t>17.5*30</t>
    </r>
  </si>
  <si>
    <t>MW-80C</t>
  </si>
  <si>
    <t>32AWG</t>
  </si>
  <si>
    <t>21AWG</t>
  </si>
  <si>
    <t>S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</si>
</sst>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/m/d"/>
    <numFmt numFmtId="185" formatCode="mmm/yyyy"/>
    <numFmt numFmtId="186" formatCode="&quot;是&quot;;&quot;是&quot;;&quot;否&quot;"/>
    <numFmt numFmtId="187" formatCode="&quot;真&quot;;&quot;真&quot;;&quot;假&quot;"/>
    <numFmt numFmtId="188" formatCode="&quot;开&quot;;&quot;开&quot;;&quot;关&quot;"/>
    <numFmt numFmtId="189" formatCode="0.00_ "/>
  </numFmts>
  <fonts count="3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u val="single"/>
      <sz val="10.2"/>
      <color indexed="36"/>
      <name val="宋体"/>
      <family val="0"/>
    </font>
    <font>
      <sz val="12"/>
      <color indexed="10"/>
      <name val="Times New Roman"/>
      <family val="1"/>
    </font>
    <font>
      <sz val="8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6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11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1.5"/>
      <name val="宋体"/>
      <family val="0"/>
    </font>
    <font>
      <b/>
      <sz val="12"/>
      <color indexed="10"/>
      <name val="宋体"/>
      <family val="0"/>
    </font>
    <font>
      <b/>
      <sz val="16"/>
      <color indexed="10"/>
      <name val="Times New Roman"/>
      <family val="1"/>
    </font>
    <font>
      <b/>
      <sz val="16"/>
      <color indexed="10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12"/>
      </top>
      <bottom>
        <color indexed="63"/>
      </bottom>
    </border>
    <border>
      <left style="medium"/>
      <right>
        <color indexed="63"/>
      </right>
      <top style="medium">
        <color indexed="1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0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33"/>
      </left>
      <right>
        <color indexed="63"/>
      </right>
      <top style="thin">
        <color indexed="33"/>
      </top>
      <bottom style="thin">
        <color indexed="33"/>
      </bottom>
    </border>
    <border>
      <left>
        <color indexed="63"/>
      </left>
      <right style="thin">
        <color indexed="33"/>
      </right>
      <top style="thin">
        <color indexed="33"/>
      </top>
      <bottom style="thin">
        <color indexed="3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 style="thin">
        <color indexed="14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thin"/>
      <top style="thin"/>
      <bottom style="thin"/>
    </border>
    <border>
      <left style="medium">
        <color indexed="39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39"/>
      </left>
      <right style="thin"/>
      <top>
        <color indexed="63"/>
      </top>
      <bottom style="thin"/>
    </border>
    <border>
      <left style="medium">
        <color indexed="39"/>
      </left>
      <right>
        <color indexed="63"/>
      </right>
      <top style="medium">
        <color indexed="39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 horizontal="center" vertical="center"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6" fillId="0" borderId="0" xfId="0" applyFont="1" applyAlignment="1" applyProtection="1">
      <alignment/>
      <protection hidden="1"/>
    </xf>
    <xf numFmtId="0" fontId="20" fillId="0" borderId="1" xfId="0" applyFont="1" applyBorder="1" applyAlignment="1" applyProtection="1">
      <alignment horizontal="center"/>
      <protection hidden="1"/>
    </xf>
    <xf numFmtId="0" fontId="25" fillId="4" borderId="0" xfId="0" applyFont="1" applyFill="1" applyAlignment="1">
      <alignment/>
    </xf>
    <xf numFmtId="0" fontId="25" fillId="2" borderId="0" xfId="0" applyFont="1" applyFill="1" applyAlignment="1">
      <alignment/>
    </xf>
    <xf numFmtId="0" fontId="6" fillId="0" borderId="2" xfId="0" applyFont="1" applyBorder="1" applyAlignment="1" applyProtection="1">
      <alignment/>
      <protection hidden="1"/>
    </xf>
    <xf numFmtId="0" fontId="6" fillId="0" borderId="3" xfId="0" applyFont="1" applyBorder="1" applyAlignment="1" applyProtection="1">
      <alignment/>
      <protection hidden="1"/>
    </xf>
    <xf numFmtId="0" fontId="2" fillId="5" borderId="0" xfId="0" applyFont="1" applyFill="1" applyAlignment="1">
      <alignment/>
    </xf>
    <xf numFmtId="0" fontId="11" fillId="0" borderId="3" xfId="0" applyFont="1" applyBorder="1" applyAlignment="1" applyProtection="1">
      <alignment horizontal="left"/>
      <protection hidden="1"/>
    </xf>
    <xf numFmtId="0" fontId="24" fillId="0" borderId="1" xfId="0" applyFont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2" borderId="0" xfId="0" applyFill="1" applyAlignment="1" applyProtection="1">
      <alignment/>
      <protection hidden="1" locked="0"/>
    </xf>
    <xf numFmtId="0" fontId="0" fillId="0" borderId="1" xfId="0" applyBorder="1" applyAlignment="1" applyProtection="1">
      <alignment/>
      <protection hidden="1" locked="0"/>
    </xf>
    <xf numFmtId="184" fontId="0" fillId="0" borderId="0" xfId="0" applyNumberFormat="1" applyAlignment="1" applyProtection="1">
      <alignment/>
      <protection hidden="1" locked="0"/>
    </xf>
    <xf numFmtId="0" fontId="0" fillId="0" borderId="2" xfId="0" applyBorder="1" applyAlignment="1" applyProtection="1">
      <alignment/>
      <protection hidden="1" locked="0"/>
    </xf>
    <xf numFmtId="0" fontId="0" fillId="0" borderId="2" xfId="0" applyBorder="1" applyAlignment="1" applyProtection="1">
      <alignment horizontal="center"/>
      <protection hidden="1" locked="0"/>
    </xf>
    <xf numFmtId="0" fontId="0" fillId="0" borderId="2" xfId="0" applyFill="1" applyBorder="1" applyAlignment="1" applyProtection="1">
      <alignment horizontal="center"/>
      <protection hidden="1" locked="0"/>
    </xf>
    <xf numFmtId="0" fontId="15" fillId="0" borderId="4" xfId="0" applyFont="1" applyBorder="1" applyAlignment="1" applyProtection="1">
      <alignment horizontal="center" vertical="center"/>
      <protection hidden="1" locked="0"/>
    </xf>
    <xf numFmtId="0" fontId="2" fillId="0" borderId="1" xfId="0" applyFont="1" applyBorder="1" applyAlignment="1" applyProtection="1">
      <alignment/>
      <protection hidden="1" locked="0"/>
    </xf>
    <xf numFmtId="0" fontId="2" fillId="0" borderId="3" xfId="0" applyFont="1" applyBorder="1" applyAlignment="1" applyProtection="1">
      <alignment/>
      <protection hidden="1" locked="0"/>
    </xf>
    <xf numFmtId="0" fontId="2" fillId="0" borderId="5" xfId="0" applyFont="1" applyBorder="1" applyAlignment="1" applyProtection="1">
      <alignment/>
      <protection hidden="1" locked="0"/>
    </xf>
    <xf numFmtId="0" fontId="20" fillId="0" borderId="2" xfId="0" applyFont="1" applyBorder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2" fillId="2" borderId="0" xfId="0" applyFont="1" applyFill="1" applyAlignment="1" applyProtection="1">
      <alignment/>
      <protection hidden="1" locked="0"/>
    </xf>
    <xf numFmtId="0" fontId="15" fillId="0" borderId="6" xfId="0" applyFont="1" applyBorder="1" applyAlignment="1" applyProtection="1">
      <alignment horizontal="center" vertical="center"/>
      <protection hidden="1" locked="0"/>
    </xf>
    <xf numFmtId="0" fontId="15" fillId="0" borderId="2" xfId="0" applyFont="1" applyBorder="1" applyAlignment="1" applyProtection="1">
      <alignment horizontal="center"/>
      <protection hidden="1" locked="0"/>
    </xf>
    <xf numFmtId="0" fontId="15" fillId="0" borderId="2" xfId="0" applyFont="1" applyBorder="1" applyAlignment="1" applyProtection="1">
      <alignment horizontal="center" vertical="center"/>
      <protection hidden="1" locked="0"/>
    </xf>
    <xf numFmtId="0" fontId="15" fillId="0" borderId="1" xfId="0" applyFont="1" applyBorder="1" applyAlignment="1" applyProtection="1">
      <alignment horizontal="center"/>
      <protection hidden="1" locked="0"/>
    </xf>
    <xf numFmtId="0" fontId="15" fillId="0" borderId="6" xfId="0" applyFont="1" applyBorder="1" applyAlignment="1" applyProtection="1">
      <alignment horizontal="center"/>
      <protection hidden="1" locked="0"/>
    </xf>
    <xf numFmtId="0" fontId="15" fillId="0" borderId="7" xfId="0" applyFont="1" applyBorder="1" applyAlignment="1" applyProtection="1">
      <alignment horizontal="center"/>
      <protection hidden="1" locked="0"/>
    </xf>
    <xf numFmtId="0" fontId="0" fillId="0" borderId="6" xfId="0" applyBorder="1" applyAlignment="1" applyProtection="1">
      <alignment horizontal="center"/>
      <protection hidden="1" locked="0"/>
    </xf>
    <xf numFmtId="0" fontId="0" fillId="0" borderId="6" xfId="0" applyBorder="1" applyAlignment="1" applyProtection="1">
      <alignment/>
      <protection hidden="1" locked="0"/>
    </xf>
    <xf numFmtId="0" fontId="15" fillId="0" borderId="4" xfId="0" applyFont="1" applyBorder="1" applyAlignment="1" applyProtection="1">
      <alignment horizontal="center"/>
      <protection hidden="1" locked="0"/>
    </xf>
    <xf numFmtId="0" fontId="15" fillId="0" borderId="8" xfId="0" applyFont="1" applyBorder="1" applyAlignment="1" applyProtection="1">
      <alignment horizontal="center"/>
      <protection hidden="1" locked="0"/>
    </xf>
    <xf numFmtId="0" fontId="17" fillId="0" borderId="2" xfId="0" applyFont="1" applyBorder="1" applyAlignment="1" applyProtection="1">
      <alignment horizontal="center"/>
      <protection hidden="1" locked="0"/>
    </xf>
    <xf numFmtId="0" fontId="14" fillId="0" borderId="2" xfId="0" applyFont="1" applyBorder="1" applyAlignment="1" applyProtection="1">
      <alignment horizontal="center"/>
      <protection hidden="1" locked="0"/>
    </xf>
    <xf numFmtId="0" fontId="0" fillId="6" borderId="9" xfId="0" applyFill="1" applyBorder="1" applyAlignment="1">
      <alignment horizontal="center" vertical="center"/>
    </xf>
    <xf numFmtId="0" fontId="2" fillId="7" borderId="0" xfId="0" applyFont="1" applyFill="1" applyBorder="1" applyAlignment="1" applyProtection="1">
      <alignment horizontal="right" vertical="center"/>
      <protection hidden="1" locked="0"/>
    </xf>
    <xf numFmtId="0" fontId="2" fillId="7" borderId="10" xfId="0" applyFont="1" applyFill="1" applyBorder="1" applyAlignment="1" applyProtection="1">
      <alignment horizontal="center" vertical="center"/>
      <protection hidden="1" locked="0"/>
    </xf>
    <xf numFmtId="0" fontId="0" fillId="7" borderId="0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1" xfId="0" applyFill="1" applyBorder="1" applyAlignment="1" applyProtection="1">
      <alignment horizontal="center" vertical="center"/>
      <protection hidden="1"/>
    </xf>
    <xf numFmtId="0" fontId="2" fillId="6" borderId="1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  <protection hidden="1"/>
    </xf>
    <xf numFmtId="0" fontId="0" fillId="6" borderId="1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  <protection hidden="1"/>
    </xf>
    <xf numFmtId="0" fontId="28" fillId="6" borderId="0" xfId="0" applyFont="1" applyFill="1" applyBorder="1" applyAlignment="1" applyProtection="1">
      <alignment horizontal="center" vertical="center"/>
      <protection hidden="1"/>
    </xf>
    <xf numFmtId="0" fontId="0" fillId="6" borderId="14" xfId="0" applyFill="1" applyBorder="1" applyAlignment="1" applyProtection="1">
      <alignment horizontal="center" vertical="center"/>
      <protection hidden="1" locked="0"/>
    </xf>
    <xf numFmtId="0" fontId="0" fillId="6" borderId="0" xfId="0" applyFill="1" applyBorder="1" applyAlignment="1" applyProtection="1">
      <alignment horizontal="center" vertical="center"/>
      <protection hidden="1"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2" fillId="6" borderId="23" xfId="0" applyFont="1" applyFill="1" applyBorder="1" applyAlignment="1" applyProtection="1">
      <alignment horizontal="center" vertical="center"/>
      <protection hidden="1"/>
    </xf>
    <xf numFmtId="0" fontId="0" fillId="6" borderId="24" xfId="0" applyFill="1" applyBorder="1" applyAlignment="1" applyProtection="1">
      <alignment horizontal="center" vertical="center"/>
      <protection hidden="1" locked="0"/>
    </xf>
    <xf numFmtId="0" fontId="0" fillId="6" borderId="25" xfId="0" applyFill="1" applyBorder="1" applyAlignment="1" applyProtection="1">
      <alignment horizontal="center" vertical="center"/>
      <protection hidden="1"/>
    </xf>
    <xf numFmtId="0" fontId="0" fillId="6" borderId="26" xfId="0" applyFill="1" applyBorder="1" applyAlignment="1" applyProtection="1">
      <alignment horizontal="center" vertical="center"/>
      <protection hidden="1"/>
    </xf>
    <xf numFmtId="0" fontId="15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 applyProtection="1">
      <alignment horizontal="center" vertical="center"/>
      <protection hidden="1"/>
    </xf>
    <xf numFmtId="0" fontId="2" fillId="6" borderId="29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 applyProtection="1">
      <alignment horizontal="center" vertical="center"/>
      <protection hidden="1"/>
    </xf>
    <xf numFmtId="0" fontId="6" fillId="6" borderId="2" xfId="0" applyFont="1" applyFill="1" applyBorder="1" applyAlignment="1" applyProtection="1">
      <alignment horizontal="center" vertical="center"/>
      <protection hidden="1"/>
    </xf>
    <xf numFmtId="0" fontId="0" fillId="6" borderId="2" xfId="0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>
      <alignment horizontal="center" vertical="center"/>
    </xf>
    <xf numFmtId="0" fontId="0" fillId="6" borderId="30" xfId="0" applyFill="1" applyBorder="1" applyAlignment="1" applyProtection="1">
      <alignment horizontal="center" vertical="center"/>
      <protection locked="0"/>
    </xf>
    <xf numFmtId="0" fontId="6" fillId="6" borderId="30" xfId="0" applyFont="1" applyFill="1" applyBorder="1" applyAlignment="1">
      <alignment horizontal="center" vertical="center"/>
    </xf>
    <xf numFmtId="0" fontId="0" fillId="7" borderId="14" xfId="0" applyFill="1" applyBorder="1" applyAlignment="1" applyProtection="1">
      <alignment horizontal="center" vertical="center"/>
      <protection locked="0"/>
    </xf>
    <xf numFmtId="0" fontId="0" fillId="7" borderId="31" xfId="0" applyFill="1" applyBorder="1" applyAlignment="1" applyProtection="1">
      <alignment horizontal="center" vertical="center"/>
      <protection hidden="1" locked="0"/>
    </xf>
    <xf numFmtId="0" fontId="0" fillId="7" borderId="32" xfId="0" applyFill="1" applyBorder="1" applyAlignment="1" applyProtection="1">
      <alignment horizontal="center" vertical="center"/>
      <protection locked="0"/>
    </xf>
    <xf numFmtId="0" fontId="6" fillId="7" borderId="0" xfId="0" applyFont="1" applyFill="1" applyBorder="1" applyAlignment="1" applyProtection="1">
      <alignment horizontal="center" vertical="center"/>
      <protection hidden="1"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2" xfId="0" applyFont="1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horizontal="center" vertical="center"/>
      <protection hidden="1" locked="0"/>
    </xf>
    <xf numFmtId="0" fontId="1" fillId="6" borderId="28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5" fillId="0" borderId="0" xfId="16" applyAlignment="1">
      <alignment horizontal="right" wrapText="1"/>
    </xf>
    <xf numFmtId="0" fontId="0" fillId="0" borderId="0" xfId="0" applyAlignment="1">
      <alignment horizontal="center" wrapText="1"/>
    </xf>
    <xf numFmtId="58" fontId="0" fillId="0" borderId="0" xfId="0" applyNumberFormat="1" applyAlignment="1">
      <alignment/>
    </xf>
    <xf numFmtId="0" fontId="2" fillId="6" borderId="25" xfId="0" applyFont="1" applyFill="1" applyBorder="1" applyAlignment="1" applyProtection="1">
      <alignment horizontal="center" vertical="center"/>
      <protection hidden="1"/>
    </xf>
    <xf numFmtId="0" fontId="17" fillId="6" borderId="33" xfId="0" applyFont="1" applyFill="1" applyBorder="1" applyAlignment="1" applyProtection="1">
      <alignment horizontal="center" vertical="center"/>
      <protection hidden="1"/>
    </xf>
    <xf numFmtId="0" fontId="2" fillId="6" borderId="33" xfId="0" applyFont="1" applyFill="1" applyBorder="1" applyAlignment="1" applyProtection="1">
      <alignment horizontal="center" vertical="center"/>
      <protection hidden="1"/>
    </xf>
    <xf numFmtId="0" fontId="2" fillId="6" borderId="33" xfId="0" applyFont="1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3" xfId="0" applyFill="1" applyBorder="1" applyAlignment="1" applyProtection="1">
      <alignment horizontal="center" vertical="center"/>
      <protection hidden="1"/>
    </xf>
    <xf numFmtId="0" fontId="2" fillId="6" borderId="35" xfId="0" applyFont="1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 applyProtection="1">
      <alignment horizontal="center" vertical="center"/>
      <protection locked="0"/>
    </xf>
    <xf numFmtId="0" fontId="0" fillId="7" borderId="37" xfId="0" applyFill="1" applyBorder="1" applyAlignment="1" applyProtection="1">
      <alignment horizontal="center" vertical="center"/>
      <protection locked="0"/>
    </xf>
    <xf numFmtId="0" fontId="0" fillId="7" borderId="38" xfId="0" applyFill="1" applyBorder="1" applyAlignment="1" applyProtection="1">
      <alignment horizontal="center" vertical="center"/>
      <protection locked="0"/>
    </xf>
    <xf numFmtId="0" fontId="2" fillId="6" borderId="39" xfId="0" applyFont="1" applyFill="1" applyBorder="1" applyAlignment="1">
      <alignment horizontal="center" vertical="center"/>
    </xf>
    <xf numFmtId="0" fontId="0" fillId="6" borderId="40" xfId="0" applyFill="1" applyBorder="1" applyAlignment="1" applyProtection="1">
      <alignment horizontal="center" vertical="center"/>
      <protection hidden="1"/>
    </xf>
    <xf numFmtId="0" fontId="2" fillId="6" borderId="41" xfId="0" applyFont="1" applyFill="1" applyBorder="1" applyAlignment="1" applyProtection="1">
      <alignment horizontal="center" vertical="center"/>
      <protection hidden="1"/>
    </xf>
    <xf numFmtId="0" fontId="0" fillId="6" borderId="42" xfId="0" applyFill="1" applyBorder="1" applyAlignment="1" applyProtection="1">
      <alignment horizontal="center" vertical="center"/>
      <protection locked="0"/>
    </xf>
    <xf numFmtId="0" fontId="2" fillId="6" borderId="40" xfId="0" applyFont="1" applyFill="1" applyBorder="1" applyAlignment="1" applyProtection="1">
      <alignment horizontal="center" vertical="center"/>
      <protection hidden="1"/>
    </xf>
    <xf numFmtId="0" fontId="0" fillId="7" borderId="30" xfId="0" applyFill="1" applyBorder="1" applyAlignment="1" applyProtection="1">
      <alignment horizontal="center" vertical="center"/>
      <protection locked="0"/>
    </xf>
    <xf numFmtId="0" fontId="28" fillId="6" borderId="27" xfId="0" applyFont="1" applyFill="1" applyBorder="1" applyAlignment="1" applyProtection="1">
      <alignment horizontal="center" vertical="center"/>
      <protection hidden="1"/>
    </xf>
    <xf numFmtId="0" fontId="28" fillId="6" borderId="28" xfId="0" applyFont="1" applyFill="1" applyBorder="1" applyAlignment="1" applyProtection="1">
      <alignment horizontal="center" vertical="center"/>
      <protection hidden="1"/>
    </xf>
    <xf numFmtId="0" fontId="2" fillId="6" borderId="43" xfId="0" applyFont="1" applyFill="1" applyBorder="1" applyAlignment="1" applyProtection="1">
      <alignment horizontal="center" vertical="center"/>
      <protection hidden="1"/>
    </xf>
    <xf numFmtId="0" fontId="0" fillId="6" borderId="44" xfId="0" applyFill="1" applyBorder="1" applyAlignment="1" applyProtection="1">
      <alignment horizontal="center" vertical="center"/>
      <protection hidden="1"/>
    </xf>
    <xf numFmtId="0" fontId="0" fillId="6" borderId="45" xfId="0" applyFill="1" applyBorder="1" applyAlignment="1" applyProtection="1">
      <alignment horizontal="center" vertical="center"/>
      <protection hidden="1"/>
    </xf>
    <xf numFmtId="0" fontId="4" fillId="6" borderId="16" xfId="0" applyFont="1" applyFill="1" applyBorder="1" applyAlignment="1">
      <alignment horizontal="center" vertical="center"/>
    </xf>
    <xf numFmtId="0" fontId="2" fillId="6" borderId="46" xfId="0" applyFont="1" applyFill="1" applyBorder="1" applyAlignment="1" applyProtection="1">
      <alignment horizontal="center" vertical="center"/>
      <protection hidden="1"/>
    </xf>
    <xf numFmtId="0" fontId="28" fillId="6" borderId="47" xfId="0" applyFont="1" applyFill="1" applyBorder="1" applyAlignment="1" applyProtection="1">
      <alignment horizontal="center" vertical="center"/>
      <protection hidden="1"/>
    </xf>
    <xf numFmtId="0" fontId="28" fillId="6" borderId="48" xfId="0" applyFont="1" applyFill="1" applyBorder="1" applyAlignment="1" applyProtection="1">
      <alignment horizontal="center" vertical="center"/>
      <protection hidden="1"/>
    </xf>
    <xf numFmtId="0" fontId="0" fillId="7" borderId="49" xfId="0" applyFill="1" applyBorder="1" applyAlignment="1" applyProtection="1">
      <alignment horizontal="center" vertical="center"/>
      <protection locked="0"/>
    </xf>
    <xf numFmtId="0" fontId="28" fillId="6" borderId="50" xfId="0" applyFont="1" applyFill="1" applyBorder="1" applyAlignment="1" applyProtection="1">
      <alignment horizontal="center" vertical="center"/>
      <protection hidden="1"/>
    </xf>
    <xf numFmtId="0" fontId="0" fillId="7" borderId="51" xfId="0" applyFill="1" applyBorder="1" applyAlignment="1" applyProtection="1">
      <alignment horizontal="center" vertical="center"/>
      <protection locked="0"/>
    </xf>
    <xf numFmtId="0" fontId="28" fillId="6" borderId="52" xfId="0" applyFont="1" applyFill="1" applyBorder="1" applyAlignment="1" applyProtection="1">
      <alignment horizontal="center" vertical="center"/>
      <protection hidden="1"/>
    </xf>
    <xf numFmtId="0" fontId="28" fillId="6" borderId="53" xfId="0" applyFont="1" applyFill="1" applyBorder="1" applyAlignment="1" applyProtection="1">
      <alignment horizontal="center" vertical="center"/>
      <protection hidden="1"/>
    </xf>
    <xf numFmtId="0" fontId="0" fillId="7" borderId="54" xfId="0" applyFill="1" applyBorder="1" applyAlignment="1" applyProtection="1">
      <alignment horizontal="center" vertical="center"/>
      <protection locked="0"/>
    </xf>
    <xf numFmtId="0" fontId="28" fillId="2" borderId="3" xfId="0" applyFont="1" applyFill="1" applyBorder="1" applyAlignment="1">
      <alignment horizontal="center" vertical="center"/>
    </xf>
    <xf numFmtId="0" fontId="28" fillId="2" borderId="4" xfId="0" applyFont="1" applyFill="1" applyBorder="1" applyAlignment="1" applyProtection="1">
      <alignment horizontal="center" vertical="center"/>
      <protection hidden="1"/>
    </xf>
    <xf numFmtId="0" fontId="28" fillId="2" borderId="8" xfId="0" applyFont="1" applyFill="1" applyBorder="1" applyAlignment="1" applyProtection="1">
      <alignment horizontal="center" vertical="center"/>
      <protection hidden="1"/>
    </xf>
    <xf numFmtId="0" fontId="28" fillId="2" borderId="6" xfId="0" applyFont="1" applyFill="1" applyBorder="1" applyAlignment="1" applyProtection="1">
      <alignment horizontal="center" vertical="center"/>
      <protection hidden="1"/>
    </xf>
    <xf numFmtId="0" fontId="28" fillId="2" borderId="2" xfId="0" applyFont="1" applyFill="1" applyBorder="1" applyAlignment="1" applyProtection="1">
      <alignment horizontal="center" vertical="center"/>
      <protection hidden="1"/>
    </xf>
    <xf numFmtId="0" fontId="0" fillId="6" borderId="9" xfId="0" applyFill="1" applyBorder="1" applyAlignment="1" applyProtection="1">
      <alignment horizontal="center" vertical="center"/>
      <protection hidden="1"/>
    </xf>
    <xf numFmtId="0" fontId="0" fillId="7" borderId="55" xfId="0" applyFill="1" applyBorder="1" applyAlignment="1" applyProtection="1">
      <alignment horizontal="center" vertical="center"/>
      <protection locked="0"/>
    </xf>
    <xf numFmtId="0" fontId="0" fillId="7" borderId="56" xfId="0" applyFill="1" applyBorder="1" applyAlignment="1" applyProtection="1">
      <alignment horizontal="center" vertical="center"/>
      <protection locked="0"/>
    </xf>
    <xf numFmtId="0" fontId="2" fillId="6" borderId="57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1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" fillId="2" borderId="64" xfId="0" applyFont="1" applyFill="1" applyBorder="1" applyAlignment="1" applyProtection="1">
      <alignment horizontal="center" vertical="center"/>
      <protection locked="0"/>
    </xf>
    <xf numFmtId="0" fontId="0" fillId="2" borderId="64" xfId="0" applyFill="1" applyBorder="1" applyAlignment="1" applyProtection="1">
      <alignment horizontal="center" vertical="center"/>
      <protection locked="0"/>
    </xf>
    <xf numFmtId="0" fontId="0" fillId="2" borderId="65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33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 locked="0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2" borderId="62" xfId="0" applyFill="1" applyBorder="1" applyAlignment="1" applyProtection="1">
      <alignment horizontal="center" vertical="center"/>
      <protection hidden="1"/>
    </xf>
    <xf numFmtId="0" fontId="0" fillId="6" borderId="14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  <protection hidden="1"/>
    </xf>
    <xf numFmtId="0" fontId="0" fillId="7" borderId="11" xfId="0" applyFill="1" applyBorder="1" applyAlignment="1" applyProtection="1">
      <alignment horizontal="center" vertical="center"/>
      <protection hidden="1" locked="0"/>
    </xf>
    <xf numFmtId="0" fontId="0" fillId="7" borderId="0" xfId="0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hidden="1" locked="0"/>
    </xf>
    <xf numFmtId="0" fontId="11" fillId="0" borderId="5" xfId="0" applyFont="1" applyBorder="1" applyAlignment="1" applyProtection="1">
      <alignment/>
      <protection hidden="1"/>
    </xf>
    <xf numFmtId="0" fontId="2" fillId="6" borderId="11" xfId="0" applyFont="1" applyFill="1" applyBorder="1" applyAlignment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>
      <alignment/>
    </xf>
    <xf numFmtId="0" fontId="2" fillId="6" borderId="15" xfId="0" applyFont="1" applyFill="1" applyBorder="1" applyAlignment="1" applyProtection="1">
      <alignment horizontal="center" vertical="center"/>
      <protection locked="0"/>
    </xf>
    <xf numFmtId="0" fontId="2" fillId="6" borderId="15" xfId="0" applyFont="1" applyFill="1" applyBorder="1" applyAlignment="1">
      <alignment horizontal="center" vertical="center"/>
    </xf>
    <xf numFmtId="0" fontId="2" fillId="6" borderId="25" xfId="0" applyFont="1" applyFill="1" applyBorder="1" applyAlignment="1" applyProtection="1">
      <alignment horizontal="center" vertical="center"/>
      <protection hidden="1"/>
    </xf>
    <xf numFmtId="0" fontId="0" fillId="6" borderId="25" xfId="0" applyFill="1" applyBorder="1" applyAlignment="1" applyProtection="1">
      <alignment horizontal="center" vertical="center"/>
      <protection hidden="1"/>
    </xf>
    <xf numFmtId="0" fontId="0" fillId="6" borderId="25" xfId="0" applyFill="1" applyBorder="1" applyAlignment="1">
      <alignment/>
    </xf>
    <xf numFmtId="0" fontId="0" fillId="6" borderId="66" xfId="0" applyFill="1" applyBorder="1" applyAlignment="1">
      <alignment horizontal="center" vertical="center"/>
    </xf>
    <xf numFmtId="0" fontId="0" fillId="6" borderId="67" xfId="0" applyFill="1" applyBorder="1" applyAlignment="1">
      <alignment/>
    </xf>
    <xf numFmtId="0" fontId="0" fillId="7" borderId="16" xfId="0" applyFill="1" applyBorder="1" applyAlignment="1" applyProtection="1">
      <alignment horizontal="center" vertical="center"/>
      <protection locked="0"/>
    </xf>
    <xf numFmtId="0" fontId="2" fillId="7" borderId="68" xfId="0" applyFont="1" applyFill="1" applyBorder="1" applyAlignment="1" applyProtection="1">
      <alignment horizontal="center" vertical="center"/>
      <protection locked="0"/>
    </xf>
    <xf numFmtId="0" fontId="0" fillId="7" borderId="69" xfId="0" applyFill="1" applyBorder="1" applyAlignment="1" applyProtection="1">
      <alignment horizontal="center" vertical="center"/>
      <protection locked="0"/>
    </xf>
    <xf numFmtId="0" fontId="0" fillId="6" borderId="34" xfId="0" applyFill="1" applyBorder="1" applyAlignment="1">
      <alignment horizontal="center" vertical="center"/>
    </xf>
    <xf numFmtId="0" fontId="0" fillId="6" borderId="70" xfId="0" applyFill="1" applyBorder="1" applyAlignment="1">
      <alignment horizontal="center" vertical="center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horizontal="center" vertical="center"/>
      <protection locked="0"/>
    </xf>
    <xf numFmtId="0" fontId="19" fillId="6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 applyProtection="1">
      <alignment horizontal="center" vertical="center"/>
      <protection locked="0"/>
    </xf>
    <xf numFmtId="0" fontId="0" fillId="7" borderId="71" xfId="0" applyFill="1" applyBorder="1" applyAlignment="1" applyProtection="1">
      <alignment horizontal="center" vertical="center"/>
      <protection locked="0"/>
    </xf>
    <xf numFmtId="0" fontId="0" fillId="2" borderId="72" xfId="0" applyFill="1" applyBorder="1" applyAlignment="1">
      <alignment horizontal="center" vertical="center"/>
    </xf>
    <xf numFmtId="0" fontId="0" fillId="2" borderId="72" xfId="0" applyFill="1" applyBorder="1" applyAlignment="1">
      <alignment horizontal="right" vertical="center"/>
    </xf>
    <xf numFmtId="0" fontId="0" fillId="2" borderId="62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 locked="0"/>
    </xf>
    <xf numFmtId="0" fontId="0" fillId="2" borderId="5" xfId="0" applyFill="1" applyBorder="1" applyAlignment="1" applyProtection="1">
      <alignment horizontal="center" vertical="center"/>
      <protection hidden="1" locked="0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3" xfId="0" applyFill="1" applyBorder="1" applyAlignment="1" applyProtection="1">
      <alignment horizontal="center" vertical="center"/>
      <protection hidden="1"/>
    </xf>
    <xf numFmtId="0" fontId="0" fillId="2" borderId="74" xfId="0" applyFill="1" applyBorder="1" applyAlignment="1" applyProtection="1">
      <alignment horizontal="center" vertical="center"/>
      <protection hidden="1"/>
    </xf>
    <xf numFmtId="0" fontId="0" fillId="2" borderId="73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7" borderId="76" xfId="0" applyFont="1" applyFill="1" applyBorder="1" applyAlignment="1" applyProtection="1">
      <alignment horizontal="center" vertical="center"/>
      <protection locked="0"/>
    </xf>
    <xf numFmtId="0" fontId="0" fillId="7" borderId="77" xfId="0" applyFill="1" applyBorder="1" applyAlignment="1" applyProtection="1">
      <alignment horizontal="center" vertical="center"/>
      <protection locked="0"/>
    </xf>
    <xf numFmtId="0" fontId="0" fillId="6" borderId="76" xfId="0" applyFill="1" applyBorder="1" applyAlignment="1">
      <alignment horizontal="center" vertical="center"/>
    </xf>
    <xf numFmtId="0" fontId="0" fillId="6" borderId="77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78" xfId="0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0" fillId="6" borderId="5" xfId="0" applyFill="1" applyBorder="1" applyAlignment="1">
      <alignment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80" xfId="0" applyFill="1" applyBorder="1" applyAlignment="1" applyProtection="1">
      <alignment horizontal="center" vertical="center"/>
      <protection locked="0"/>
    </xf>
    <xf numFmtId="0" fontId="0" fillId="6" borderId="68" xfId="0" applyFill="1" applyBorder="1" applyAlignment="1" applyProtection="1">
      <alignment horizontal="center" vertical="center"/>
      <protection locked="0"/>
    </xf>
    <xf numFmtId="0" fontId="0" fillId="6" borderId="77" xfId="0" applyFill="1" applyBorder="1" applyAlignment="1" applyProtection="1">
      <alignment horizontal="center" vertical="center"/>
      <protection locked="0"/>
    </xf>
    <xf numFmtId="0" fontId="7" fillId="7" borderId="57" xfId="0" applyFont="1" applyFill="1" applyBorder="1" applyAlignment="1" applyProtection="1">
      <alignment horizontal="center" vertical="center"/>
      <protection hidden="1" locked="0"/>
    </xf>
    <xf numFmtId="0" fontId="2" fillId="6" borderId="42" xfId="0" applyFont="1" applyFill="1" applyBorder="1" applyAlignment="1">
      <alignment horizontal="center" vertical="center"/>
    </xf>
    <xf numFmtId="0" fontId="0" fillId="6" borderId="57" xfId="0" applyFill="1" applyBorder="1" applyAlignment="1">
      <alignment/>
    </xf>
    <xf numFmtId="0" fontId="7" fillId="6" borderId="42" xfId="0" applyFont="1" applyFill="1" applyBorder="1" applyAlignment="1" applyProtection="1">
      <alignment horizontal="center" vertical="center"/>
      <protection hidden="1"/>
    </xf>
    <xf numFmtId="0" fontId="0" fillId="6" borderId="81" xfId="0" applyFill="1" applyBorder="1" applyAlignment="1">
      <alignment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2" fillId="7" borderId="33" xfId="0" applyFont="1" applyFill="1" applyBorder="1" applyAlignment="1" applyProtection="1">
      <alignment horizontal="center" vertical="center"/>
      <protection locked="0"/>
    </xf>
    <xf numFmtId="0" fontId="0" fillId="6" borderId="8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2" fillId="7" borderId="57" xfId="0" applyFont="1" applyFill="1" applyBorder="1" applyAlignment="1" applyProtection="1">
      <alignment horizontal="center" vertical="center"/>
      <protection locked="0"/>
    </xf>
    <xf numFmtId="0" fontId="0" fillId="7" borderId="57" xfId="0" applyFill="1" applyBorder="1" applyAlignment="1" applyProtection="1">
      <alignment/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6" borderId="83" xfId="0" applyFill="1" applyBorder="1" applyAlignment="1">
      <alignment/>
    </xf>
    <xf numFmtId="0" fontId="0" fillId="6" borderId="84" xfId="0" applyFill="1" applyBorder="1" applyAlignment="1" applyProtection="1">
      <alignment horizontal="center" vertical="center"/>
      <protection hidden="1"/>
    </xf>
    <xf numFmtId="0" fontId="0" fillId="6" borderId="85" xfId="0" applyFill="1" applyBorder="1" applyAlignment="1">
      <alignment/>
    </xf>
    <xf numFmtId="0" fontId="0" fillId="6" borderId="83" xfId="0" applyFill="1" applyBorder="1" applyAlignment="1">
      <alignment horizontal="left" vertical="center"/>
    </xf>
    <xf numFmtId="0" fontId="0" fillId="6" borderId="33" xfId="0" applyFill="1" applyBorder="1" applyAlignment="1">
      <alignment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11" fillId="6" borderId="33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 applyProtection="1">
      <alignment horizontal="center" vertical="center"/>
      <protection hidden="1"/>
    </xf>
    <xf numFmtId="0" fontId="2" fillId="7" borderId="86" xfId="0" applyFont="1" applyFill="1" applyBorder="1" applyAlignment="1" applyProtection="1">
      <alignment horizontal="left" vertical="center"/>
      <protection hidden="1" locked="0"/>
    </xf>
    <xf numFmtId="0" fontId="0" fillId="7" borderId="86" xfId="0" applyFill="1" applyBorder="1" applyAlignment="1" applyProtection="1">
      <alignment/>
      <protection locked="0"/>
    </xf>
    <xf numFmtId="0" fontId="6" fillId="6" borderId="57" xfId="0" applyFont="1" applyFill="1" applyBorder="1" applyAlignment="1" applyProtection="1">
      <alignment horizontal="center" vertical="center"/>
      <protection hidden="1"/>
    </xf>
    <xf numFmtId="0" fontId="0" fillId="6" borderId="13" xfId="0" applyFill="1" applyBorder="1" applyAlignment="1">
      <alignment horizontal="center" vertical="center"/>
    </xf>
    <xf numFmtId="0" fontId="6" fillId="6" borderId="33" xfId="0" applyFont="1" applyFill="1" applyBorder="1" applyAlignment="1" applyProtection="1">
      <alignment horizontal="center" vertical="center"/>
      <protection hidden="1"/>
    </xf>
    <xf numFmtId="0" fontId="2" fillId="6" borderId="57" xfId="0" applyFont="1" applyFill="1" applyBorder="1" applyAlignment="1" applyProtection="1">
      <alignment horizontal="center" vertical="center"/>
      <protection hidden="1"/>
    </xf>
    <xf numFmtId="0" fontId="0" fillId="7" borderId="1" xfId="0" applyFill="1" applyBorder="1" applyAlignment="1" applyProtection="1">
      <alignment horizontal="center" vertical="center"/>
      <protection locked="0"/>
    </xf>
    <xf numFmtId="0" fontId="2" fillId="7" borderId="80" xfId="0" applyFont="1" applyFill="1" applyBorder="1" applyAlignment="1" applyProtection="1">
      <alignment horizontal="center" vertical="center"/>
      <protection locked="0"/>
    </xf>
    <xf numFmtId="0" fontId="29" fillId="2" borderId="25" xfId="0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horizontal="center" vertical="center"/>
    </xf>
    <xf numFmtId="0" fontId="0" fillId="6" borderId="86" xfId="0" applyFill="1" applyBorder="1" applyAlignment="1" applyProtection="1">
      <alignment horizontal="center" vertical="center"/>
      <protection hidden="1"/>
    </xf>
    <xf numFmtId="0" fontId="0" fillId="6" borderId="27" xfId="0" applyFill="1" applyBorder="1" applyAlignment="1">
      <alignment horizontal="center" vertical="center"/>
    </xf>
    <xf numFmtId="0" fontId="0" fillId="6" borderId="10" xfId="0" applyFill="1" applyBorder="1" applyAlignment="1">
      <alignment/>
    </xf>
    <xf numFmtId="0" fontId="2" fillId="7" borderId="86" xfId="0" applyFont="1" applyFill="1" applyBorder="1" applyAlignment="1" applyProtection="1">
      <alignment horizontal="center" vertical="center"/>
      <protection locked="0"/>
    </xf>
    <xf numFmtId="0" fontId="2" fillId="7" borderId="87" xfId="0" applyFont="1" applyFill="1" applyBorder="1" applyAlignment="1" applyProtection="1">
      <alignment horizontal="center" vertical="center"/>
      <protection locked="0"/>
    </xf>
    <xf numFmtId="0" fontId="0" fillId="6" borderId="10" xfId="0" applyFont="1" applyFill="1" applyBorder="1" applyAlignment="1">
      <alignment horizontal="center" vertical="center"/>
    </xf>
    <xf numFmtId="0" fontId="0" fillId="7" borderId="86" xfId="0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hidden="1" locked="0"/>
    </xf>
    <xf numFmtId="0" fontId="1" fillId="0" borderId="5" xfId="0" applyFont="1" applyBorder="1" applyAlignment="1" applyProtection="1">
      <alignment horizontal="center"/>
      <protection hidden="1" locked="0"/>
    </xf>
    <xf numFmtId="0" fontId="2" fillId="0" borderId="1" xfId="0" applyFont="1" applyBorder="1" applyAlignment="1" applyProtection="1">
      <alignment horizontal="center"/>
      <protection hidden="1" locked="0"/>
    </xf>
    <xf numFmtId="0" fontId="2" fillId="0" borderId="3" xfId="0" applyFont="1" applyBorder="1" applyAlignment="1" applyProtection="1">
      <alignment horizontal="center"/>
      <protection hidden="1" locked="0"/>
    </xf>
    <xf numFmtId="0" fontId="2" fillId="0" borderId="5" xfId="0" applyFont="1" applyBorder="1" applyAlignment="1" applyProtection="1">
      <alignment horizontal="center"/>
      <protection hidden="1" locked="0"/>
    </xf>
    <xf numFmtId="0" fontId="15" fillId="0" borderId="4" xfId="0" applyFont="1" applyBorder="1" applyAlignment="1" applyProtection="1">
      <alignment horizontal="center" vertical="center"/>
      <protection hidden="1" locked="0"/>
    </xf>
    <xf numFmtId="0" fontId="15" fillId="0" borderId="6" xfId="0" applyFont="1" applyBorder="1" applyAlignment="1" applyProtection="1">
      <alignment horizontal="center" vertical="center"/>
      <protection hidden="1" locked="0"/>
    </xf>
    <xf numFmtId="0" fontId="0" fillId="0" borderId="4" xfId="0" applyBorder="1" applyAlignment="1" applyProtection="1">
      <alignment horizontal="center" vertical="center"/>
      <protection hidden="1" locked="0"/>
    </xf>
    <xf numFmtId="0" fontId="0" fillId="0" borderId="6" xfId="0" applyBorder="1" applyAlignment="1" applyProtection="1">
      <alignment horizontal="center" vertical="center"/>
      <protection hidden="1" locked="0"/>
    </xf>
    <xf numFmtId="0" fontId="17" fillId="0" borderId="3" xfId="0" applyFont="1" applyBorder="1" applyAlignment="1" applyProtection="1">
      <alignment horizontal="center"/>
      <protection hidden="1" locked="0"/>
    </xf>
    <xf numFmtId="0" fontId="17" fillId="0" borderId="5" xfId="0" applyFont="1" applyBorder="1" applyAlignment="1" applyProtection="1">
      <alignment horizontal="center"/>
      <protection hidden="1" locked="0"/>
    </xf>
    <xf numFmtId="0" fontId="18" fillId="0" borderId="33" xfId="0" applyFont="1" applyBorder="1" applyAlignment="1" applyProtection="1">
      <alignment horizontal="center"/>
      <protection hidden="1" locked="0"/>
    </xf>
    <xf numFmtId="0" fontId="0" fillId="0" borderId="1" xfId="0" applyBorder="1" applyAlignment="1" applyProtection="1">
      <alignment horizontal="center"/>
      <protection hidden="1" locked="0"/>
    </xf>
    <xf numFmtId="0" fontId="0" fillId="0" borderId="3" xfId="0" applyBorder="1" applyAlignment="1" applyProtection="1">
      <alignment horizontal="center"/>
      <protection hidden="1" locked="0"/>
    </xf>
    <xf numFmtId="0" fontId="0" fillId="0" borderId="5" xfId="0" applyBorder="1" applyAlignment="1" applyProtection="1">
      <alignment horizontal="center"/>
      <protection hidden="1" locked="0"/>
    </xf>
    <xf numFmtId="0" fontId="15" fillId="0" borderId="8" xfId="0" applyFont="1" applyBorder="1" applyAlignment="1" applyProtection="1">
      <alignment horizontal="center" vertical="center"/>
      <protection hidden="1" locked="0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24" fillId="0" borderId="3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horizontal="center"/>
      <protection hidden="1" locked="0"/>
    </xf>
    <xf numFmtId="0" fontId="19" fillId="0" borderId="3" xfId="0" applyFont="1" applyBorder="1" applyAlignment="1" applyProtection="1">
      <alignment horizontal="center"/>
      <protection hidden="1" locked="0"/>
    </xf>
    <xf numFmtId="0" fontId="19" fillId="0" borderId="5" xfId="0" applyFont="1" applyBorder="1" applyAlignment="1" applyProtection="1">
      <alignment horizontal="center"/>
      <protection hidden="1" locked="0"/>
    </xf>
    <xf numFmtId="0" fontId="15" fillId="0" borderId="3" xfId="0" applyFont="1" applyBorder="1" applyAlignment="1" applyProtection="1">
      <alignment horizontal="center"/>
      <protection hidden="1" locked="0"/>
    </xf>
    <xf numFmtId="0" fontId="15" fillId="0" borderId="5" xfId="0" applyFont="1" applyBorder="1" applyAlignment="1" applyProtection="1">
      <alignment horizontal="center"/>
      <protection hidden="1" locked="0"/>
    </xf>
    <xf numFmtId="0" fontId="15" fillId="0" borderId="1" xfId="0" applyFont="1" applyBorder="1" applyAlignment="1" applyProtection="1">
      <alignment horizontal="center"/>
      <protection hidden="1" locked="0"/>
    </xf>
    <xf numFmtId="0" fontId="15" fillId="0" borderId="2" xfId="0" applyFont="1" applyBorder="1" applyAlignment="1" applyProtection="1">
      <alignment horizontal="center" vertical="center"/>
      <protection hidden="1" locked="0"/>
    </xf>
    <xf numFmtId="0" fontId="21" fillId="0" borderId="1" xfId="0" applyFont="1" applyBorder="1" applyAlignment="1" applyProtection="1">
      <alignment horizontal="center"/>
      <protection hidden="1"/>
    </xf>
    <xf numFmtId="0" fontId="21" fillId="0" borderId="3" xfId="0" applyFont="1" applyBorder="1" applyAlignment="1" applyProtection="1">
      <alignment horizontal="center"/>
      <protection hidden="1"/>
    </xf>
    <xf numFmtId="0" fontId="21" fillId="0" borderId="5" xfId="0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/>
      <protection hidden="1"/>
    </xf>
    <xf numFmtId="0" fontId="20" fillId="0" borderId="3" xfId="0" applyFont="1" applyBorder="1" applyAlignment="1" applyProtection="1">
      <alignment horizontal="center"/>
      <protection hidden="1"/>
    </xf>
    <xf numFmtId="0" fontId="20" fillId="0" borderId="5" xfId="0" applyFont="1" applyBorder="1" applyAlignment="1" applyProtection="1">
      <alignment horizontal="center"/>
      <protection hidden="1"/>
    </xf>
    <xf numFmtId="0" fontId="15" fillId="0" borderId="1" xfId="0" applyFont="1" applyBorder="1" applyAlignment="1" applyProtection="1">
      <alignment horizontal="left"/>
      <protection hidden="1" locked="0"/>
    </xf>
    <xf numFmtId="0" fontId="15" fillId="0" borderId="3" xfId="0" applyFont="1" applyBorder="1" applyAlignment="1" applyProtection="1">
      <alignment horizontal="left"/>
      <protection hidden="1" locked="0"/>
    </xf>
    <xf numFmtId="0" fontId="15" fillId="0" borderId="5" xfId="0" applyFont="1" applyBorder="1" applyAlignment="1" applyProtection="1">
      <alignment horizontal="left"/>
      <protection hidden="1" locked="0"/>
    </xf>
    <xf numFmtId="0" fontId="20" fillId="0" borderId="1" xfId="0" applyFont="1" applyBorder="1" applyAlignment="1" applyProtection="1">
      <alignment horizontal="center"/>
      <protection hidden="1" locked="0"/>
    </xf>
    <xf numFmtId="0" fontId="20" fillId="0" borderId="3" xfId="0" applyFon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0" borderId="16" xfId="0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/>
      <protection hidden="1" locked="0"/>
    </xf>
    <xf numFmtId="0" fontId="0" fillId="0" borderId="4" xfId="0" applyBorder="1" applyAlignment="1" applyProtection="1">
      <alignment horizontal="center"/>
      <protection hidden="1" locked="0"/>
    </xf>
    <xf numFmtId="0" fontId="0" fillId="0" borderId="6" xfId="0" applyBorder="1" applyAlignment="1" applyProtection="1">
      <alignment horizontal="center"/>
      <protection hidden="1"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EI48 H18 0.35A B0/H0图</a:t>
            </a:r>
          </a:p>
        </c:rich>
      </c:tx>
      <c:layout>
        <c:manualLayout>
          <c:xMode val="factor"/>
          <c:yMode val="factor"/>
          <c:x val="-0.010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"/>
          <c:y val="0.18575"/>
          <c:w val="0.82025"/>
          <c:h val="0.663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'EI48 H18A0.35 (2)'!$C$5:$C$17</c:f>
              <c:numCache/>
            </c:numRef>
          </c:xVal>
          <c:yVal>
            <c:numRef>
              <c:f>'EI48 H18A0.35 (2)'!$E$5:$E$17</c:f>
              <c:numCache/>
            </c:numRef>
          </c:yVal>
          <c:smooth val="1"/>
        </c:ser>
        <c:axId val="14355186"/>
        <c:axId val="62087811"/>
      </c:scatterChart>
      <c:valAx>
        <c:axId val="14355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宋体"/>
                    <a:ea typeface="宋体"/>
                    <a:cs typeface="宋体"/>
                  </a:rPr>
                  <a:t>B0(T)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62087811"/>
        <c:crosses val="max"/>
        <c:crossBetween val="midCat"/>
        <c:dispUnits/>
      </c:valAx>
      <c:valAx>
        <c:axId val="6208781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H0(A/CM)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435518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宋体"/>
                <a:ea typeface="宋体"/>
                <a:cs typeface="宋体"/>
              </a:rPr>
              <a:t>EI41 H18 0.5A 50HZ B0/H0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'EI41 H18A0.5 '!$C$5:$C$23</c:f>
              <c:numCache/>
            </c:numRef>
          </c:xVal>
          <c:yVal>
            <c:numRef>
              <c:f>'EI41 H18A0.5 '!$E$5:$E$23</c:f>
              <c:numCache/>
            </c:numRef>
          </c:yVal>
          <c:smooth val="1"/>
        </c:ser>
        <c:axId val="21919388"/>
        <c:axId val="63056765"/>
      </c:scatterChart>
      <c:valAx>
        <c:axId val="21919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宋体"/>
                    <a:ea typeface="宋体"/>
                    <a:cs typeface="宋体"/>
                  </a:rPr>
                  <a:t>B0(T)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63056765"/>
        <c:crosses val="autoZero"/>
        <c:crossBetween val="midCat"/>
        <c:dispUnits/>
      </c:valAx>
      <c:valAx>
        <c:axId val="63056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宋体"/>
                    <a:ea typeface="宋体"/>
                    <a:cs typeface="宋体"/>
                  </a:rPr>
                  <a:t>H0(A/CM)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19193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宋体"/>
                <a:ea typeface="宋体"/>
                <a:cs typeface="宋体"/>
              </a:rPr>
              <a:t>EI35 H18 0.35A B0/H0图</a:t>
            </a:r>
          </a:p>
        </c:rich>
      </c:tx>
      <c:layout>
        <c:manualLayout>
          <c:xMode val="factor"/>
          <c:yMode val="factor"/>
          <c:x val="-0.010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"/>
          <c:y val="0.1145"/>
          <c:w val="0.79975"/>
          <c:h val="0.804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'EI35 H18A0.35'!$C$5:$C$17</c:f>
              <c:numCache/>
            </c:numRef>
          </c:xVal>
          <c:yVal>
            <c:numRef>
              <c:f>'EI35 H18A0.35'!$E$5:$E$17</c:f>
              <c:numCache/>
            </c:numRef>
          </c:yVal>
          <c:smooth val="1"/>
        </c:ser>
        <c:axId val="30639974"/>
        <c:axId val="7324311"/>
      </c:scatterChart>
      <c:valAx>
        <c:axId val="30639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宋体"/>
                    <a:ea typeface="宋体"/>
                    <a:cs typeface="宋体"/>
                  </a:rPr>
                  <a:t>B0(T)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7324311"/>
        <c:crosses val="max"/>
        <c:crossBetween val="midCat"/>
        <c:dispUnits/>
      </c:valAx>
      <c:valAx>
        <c:axId val="7324311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H0(A/CM)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063997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9</xdr:row>
      <xdr:rowOff>104775</xdr:rowOff>
    </xdr:from>
    <xdr:to>
      <xdr:col>6</xdr:col>
      <xdr:colOff>647700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95250" y="1809750"/>
        <a:ext cx="42481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</xdr:row>
      <xdr:rowOff>19050</xdr:rowOff>
    </xdr:from>
    <xdr:to>
      <xdr:col>11</xdr:col>
      <xdr:colOff>152400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3867150" y="619125"/>
        <a:ext cx="34099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</xdr:row>
      <xdr:rowOff>66675</xdr:rowOff>
    </xdr:from>
    <xdr:to>
      <xdr:col>11</xdr:col>
      <xdr:colOff>76200</xdr:colOff>
      <xdr:row>23</xdr:row>
      <xdr:rowOff>104775</xdr:rowOff>
    </xdr:to>
    <xdr:graphicFrame>
      <xdr:nvGraphicFramePr>
        <xdr:cNvPr id="1" name="Chart 10"/>
        <xdr:cNvGraphicFramePr/>
      </xdr:nvGraphicFramePr>
      <xdr:xfrm>
        <a:off x="4067175" y="266700"/>
        <a:ext cx="31337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CR@H" TargetMode="External" /><Relationship Id="rId2" Type="http://schemas.openxmlformats.org/officeDocument/2006/relationships/hyperlink" Target="mailto:DCR@20" TargetMode="External" /><Relationship Id="rId3" Type="http://schemas.openxmlformats.org/officeDocument/2006/relationships/hyperlink" Target="mailto:DCR@H" TargetMode="External" /><Relationship Id="rId4" Type="http://schemas.openxmlformats.org/officeDocument/2006/relationships/hyperlink" Target="mailto:DCR@20" TargetMode="External" /><Relationship Id="rId5" Type="http://schemas.openxmlformats.org/officeDocument/2006/relationships/comments" Target="../comments3.xml" /><Relationship Id="rId6" Type="http://schemas.openxmlformats.org/officeDocument/2006/relationships/vmlDrawing" Target="../drawings/vmlDrawing2.vml" /><Relationship Id="rId7" Type="http://schemas.openxmlformats.org/officeDocument/2006/relationships/image" Target="../media/image1.png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tmsz.blog.dianyuan.com/u/&#20854;&#23427;/UL%20CARD/&#28422;&#21253;&#32447;/&#22826;&#24179;&#27915;%20E201757%20%20&#28422;&#21253;&#32447;.mht" TargetMode="External" /><Relationship Id="rId2" Type="http://schemas.openxmlformats.org/officeDocument/2006/relationships/hyperlink" Target="http://itmsz.blog.dianyuan.com/u/&#20854;&#23427;/UL%20CARD/&#28422;&#21253;&#32447;/WAN%20MON%20E104091%20-%20Magnet%20Wire.mht" TargetMode="External" /><Relationship Id="rId3" Type="http://schemas.openxmlformats.org/officeDocument/2006/relationships/hyperlink" Target="http://itmsz.blog.dianyuan.com/u/&#20854;&#23427;/UL%20CARD/&#28422;&#21253;&#32447;/TA%20WIN%20E152187%20-%20Magnet%20Wire.mht" TargetMode="External" /><Relationship Id="rId4" Type="http://schemas.openxmlformats.org/officeDocument/2006/relationships/hyperlink" Target="http://itmsz.blog.dianyuan.com/u/&#20854;&#23427;/UL%20CARD/&#28422;&#21253;&#32447;/HUNG%20HSANG%20E158025%20-%20Magnet%20Wire.mht" TargetMode="External" /><Relationship Id="rId5" Type="http://schemas.openxmlformats.org/officeDocument/2006/relationships/hyperlink" Target="http://itmsz.blog.dianyuan.com/u/&#20854;&#23427;/UL%20CARD/&#28422;&#21253;&#32447;/FENG%20CHING%20E172395%20-%20Magnet%20Wire.mht" TargetMode="External" /><Relationship Id="rId6" Type="http://schemas.openxmlformats.org/officeDocument/2006/relationships/hyperlink" Target="http://itmsz.blog.dianyuan.com/u/&#20854;&#23427;/UL%20CARD/&#32477;&#32536;&#27833;/&#24658;&#26124;%20E200154%20&#32477;&#32536;&#27833;%20.mht" TargetMode="External" /><Relationship Id="rId7" Type="http://schemas.openxmlformats.org/officeDocument/2006/relationships/hyperlink" Target="http://itmsz.blog.dianyuan.com/u/&#20854;&#23427;/UL%20CARD/&#32477;&#32536;&#27833;/JOHN%20C%20%20E76517%20-%20&#32477;&#32536;&#27833;.mht" TargetMode="External" /><Relationship Id="rId8" Type="http://schemas.openxmlformats.org/officeDocument/2006/relationships/hyperlink" Target="http://itmsz.blog.dianyuan.com/u/&#20854;&#23427;/UL%20CARD/&#33014;&#24102;/3M%20E17385%20-%20&#33014;&#24102;.mht" TargetMode="External" /><Relationship Id="rId9" Type="http://schemas.openxmlformats.org/officeDocument/2006/relationships/hyperlink" Target="http://itmsz.blog.dianyuan.com/u/&#20854;&#23427;/UL%20CARD/&#33014;&#24102;/BONDTEC_E175868%20%20801&#33014;&#24102;.mht" TargetMode="External" /><Relationship Id="rId10" Type="http://schemas.openxmlformats.org/officeDocument/2006/relationships/hyperlink" Target="http://itmsz.blog.dianyuan.com/u/&#20854;&#23427;/UL%20CARD/&#33014;&#24102;/&#20122;&#21326;%20E165111%20%20&#33014;&#24102;%20.mht" TargetMode="External" /><Relationship Id="rId11" Type="http://schemas.openxmlformats.org/officeDocument/2006/relationships/hyperlink" Target="http://itmsz.blog.dianyuan.com/u/&#20854;&#23427;/UL%20CARD/&#33014;&#24102;/DUCK%20E105147%20Tape.mht" TargetMode="External" /><Relationship Id="rId12" Type="http://schemas.openxmlformats.org/officeDocument/2006/relationships/hyperlink" Target="http://itmsz.blog.dianyuan.com/u/&#20854;&#23427;/UL%20CARD/&#33014;&#24102;/NITTO%20E34833%20Tape.mht" TargetMode="External" /><Relationship Id="rId13" Type="http://schemas.openxmlformats.org/officeDocument/2006/relationships/hyperlink" Target="http://itmsz.blog.dianyuan.com/u/&#20854;&#23427;/UL%20CARD/BOBBIN/DUPONT_E41938%20%20%20&#39592;&#26550;.mht" TargetMode="External" /><Relationship Id="rId14" Type="http://schemas.openxmlformats.org/officeDocument/2006/relationships/hyperlink" Target="http://itmsz.blog.dianyuan.com/u/&#20854;&#23427;/UL%20CARD/BOBBIN/SOLUTIA%20E70062%20Plastics%20BOBBIN.mht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8"/>
  <sheetViews>
    <sheetView workbookViewId="0" topLeftCell="A1">
      <selection activeCell="D16" sqref="D16"/>
    </sheetView>
  </sheetViews>
  <sheetFormatPr defaultColWidth="9.00390625" defaultRowHeight="14.25"/>
  <cols>
    <col min="2" max="12" width="5.50390625" style="0" customWidth="1"/>
    <col min="14" max="14" width="6.625" style="0" customWidth="1"/>
  </cols>
  <sheetData>
    <row r="1" spans="1:13" ht="15.75">
      <c r="A1" s="15" t="s">
        <v>56</v>
      </c>
      <c r="B1" s="15" t="s">
        <v>57</v>
      </c>
      <c r="C1" s="15" t="s">
        <v>58</v>
      </c>
      <c r="D1" s="15" t="s">
        <v>59</v>
      </c>
      <c r="E1" s="15" t="s">
        <v>60</v>
      </c>
      <c r="F1" s="15" t="s">
        <v>61</v>
      </c>
      <c r="G1" s="15" t="s">
        <v>62</v>
      </c>
      <c r="H1" s="15" t="s">
        <v>63</v>
      </c>
      <c r="I1" s="15" t="s">
        <v>64</v>
      </c>
      <c r="J1" s="15" t="s">
        <v>65</v>
      </c>
      <c r="K1" s="15" t="s">
        <v>66</v>
      </c>
      <c r="L1" s="15" t="s">
        <v>67</v>
      </c>
      <c r="M1" s="15" t="s">
        <v>68</v>
      </c>
    </row>
    <row r="2" spans="1:13" ht="15.75">
      <c r="A2" s="1" t="s">
        <v>69</v>
      </c>
      <c r="B2" s="1">
        <v>10.5</v>
      </c>
      <c r="C2" s="1">
        <v>14</v>
      </c>
      <c r="D2" s="1">
        <v>8.75</v>
      </c>
      <c r="E2" s="1"/>
      <c r="F2" s="1"/>
      <c r="G2" s="1"/>
      <c r="H2" s="1">
        <v>1.75</v>
      </c>
      <c r="I2" s="1">
        <v>1.75</v>
      </c>
      <c r="J2" s="1">
        <v>3.5</v>
      </c>
      <c r="K2" s="1">
        <v>3.5</v>
      </c>
      <c r="L2" s="1">
        <v>7</v>
      </c>
      <c r="M2">
        <f>ROUND(C2/2+B2+K2+L2,1)</f>
        <v>28</v>
      </c>
    </row>
    <row r="3" spans="1:13" ht="15.75">
      <c r="A3" s="1" t="s">
        <v>70</v>
      </c>
      <c r="B3">
        <v>14</v>
      </c>
      <c r="C3">
        <v>16</v>
      </c>
      <c r="D3">
        <v>12</v>
      </c>
      <c r="H3">
        <v>2</v>
      </c>
      <c r="I3">
        <v>2</v>
      </c>
      <c r="J3">
        <v>4</v>
      </c>
      <c r="K3">
        <v>4</v>
      </c>
      <c r="L3">
        <v>10</v>
      </c>
      <c r="M3">
        <f aca="true" t="shared" si="0" ref="M3:M28">ROUND(C3/2+B3+K3+L3,1)</f>
        <v>36</v>
      </c>
    </row>
    <row r="4" spans="1:13" ht="15.75">
      <c r="A4" s="1" t="s">
        <v>71</v>
      </c>
      <c r="B4">
        <v>15</v>
      </c>
      <c r="C4">
        <v>19</v>
      </c>
      <c r="D4">
        <v>12.5</v>
      </c>
      <c r="H4">
        <v>2.5</v>
      </c>
      <c r="I4">
        <v>2.5</v>
      </c>
      <c r="J4">
        <v>5</v>
      </c>
      <c r="K4">
        <v>5</v>
      </c>
      <c r="L4">
        <v>4.5</v>
      </c>
      <c r="M4">
        <f t="shared" si="0"/>
        <v>34</v>
      </c>
    </row>
    <row r="5" spans="1:13" ht="15.75">
      <c r="A5" s="1" t="s">
        <v>72</v>
      </c>
      <c r="B5">
        <v>18</v>
      </c>
      <c r="C5">
        <v>24</v>
      </c>
      <c r="D5">
        <v>15</v>
      </c>
      <c r="H5">
        <v>3</v>
      </c>
      <c r="I5">
        <v>3</v>
      </c>
      <c r="J5">
        <v>6</v>
      </c>
      <c r="K5">
        <v>6</v>
      </c>
      <c r="L5">
        <v>12</v>
      </c>
      <c r="M5">
        <f t="shared" si="0"/>
        <v>48</v>
      </c>
    </row>
    <row r="6" spans="1:13" ht="15.75">
      <c r="A6" s="1" t="s">
        <v>73</v>
      </c>
      <c r="B6">
        <v>25</v>
      </c>
      <c r="C6">
        <v>28</v>
      </c>
      <c r="D6">
        <v>21</v>
      </c>
      <c r="H6">
        <v>4</v>
      </c>
      <c r="I6">
        <v>4</v>
      </c>
      <c r="J6">
        <v>8</v>
      </c>
      <c r="K6">
        <v>6</v>
      </c>
      <c r="L6">
        <v>17</v>
      </c>
      <c r="M6">
        <f t="shared" si="0"/>
        <v>62</v>
      </c>
    </row>
    <row r="7" spans="1:13" ht="15.75">
      <c r="A7" s="1" t="s">
        <v>88</v>
      </c>
      <c r="B7">
        <v>33</v>
      </c>
      <c r="C7">
        <v>41</v>
      </c>
      <c r="D7">
        <v>27</v>
      </c>
      <c r="H7">
        <v>6</v>
      </c>
      <c r="I7">
        <v>6</v>
      </c>
      <c r="J7">
        <v>13</v>
      </c>
      <c r="K7">
        <v>8</v>
      </c>
      <c r="L7">
        <v>21</v>
      </c>
      <c r="M7">
        <f t="shared" si="0"/>
        <v>82.5</v>
      </c>
    </row>
    <row r="8" spans="1:13" ht="15.75">
      <c r="A8" s="1" t="s">
        <v>91</v>
      </c>
      <c r="M8">
        <f t="shared" si="0"/>
        <v>0</v>
      </c>
    </row>
    <row r="9" spans="1:13" ht="15.75">
      <c r="A9" s="1" t="s">
        <v>256</v>
      </c>
      <c r="B9">
        <v>6.2</v>
      </c>
      <c r="C9">
        <v>6.2</v>
      </c>
      <c r="G9">
        <v>13.8</v>
      </c>
      <c r="M9">
        <f t="shared" si="0"/>
        <v>9.3</v>
      </c>
    </row>
    <row r="10" spans="1:13" ht="15.75">
      <c r="A10" s="1" t="s">
        <v>394</v>
      </c>
      <c r="B10">
        <v>32</v>
      </c>
      <c r="C10">
        <v>38.4</v>
      </c>
      <c r="D10">
        <v>25.6</v>
      </c>
      <c r="H10">
        <v>6.4</v>
      </c>
      <c r="I10">
        <v>6.4</v>
      </c>
      <c r="J10">
        <v>12.8</v>
      </c>
      <c r="K10">
        <v>6.4</v>
      </c>
      <c r="L10">
        <v>19.2</v>
      </c>
      <c r="M10">
        <f t="shared" si="0"/>
        <v>76.8</v>
      </c>
    </row>
    <row r="11" spans="1:13" ht="15.75">
      <c r="A11" s="1" t="s">
        <v>413</v>
      </c>
      <c r="B11">
        <v>30</v>
      </c>
      <c r="C11">
        <v>50.3</v>
      </c>
      <c r="D11">
        <v>40.3</v>
      </c>
      <c r="I11">
        <v>10</v>
      </c>
      <c r="J11">
        <v>10</v>
      </c>
      <c r="K11">
        <v>10</v>
      </c>
      <c r="L11">
        <v>30.3</v>
      </c>
      <c r="M11">
        <v>120.6</v>
      </c>
    </row>
    <row r="12" spans="1:13" ht="15.75">
      <c r="A12" s="1" t="s">
        <v>417</v>
      </c>
      <c r="B12">
        <v>39</v>
      </c>
      <c r="C12">
        <v>65</v>
      </c>
      <c r="M12">
        <f t="shared" si="0"/>
        <v>71.5</v>
      </c>
    </row>
    <row r="13" spans="1:13" ht="15.75">
      <c r="A13" s="1" t="s">
        <v>421</v>
      </c>
      <c r="B13">
        <v>29.5</v>
      </c>
      <c r="C13">
        <v>35</v>
      </c>
      <c r="D13">
        <v>24.5</v>
      </c>
      <c r="H13">
        <v>5</v>
      </c>
      <c r="I13">
        <v>5</v>
      </c>
      <c r="J13">
        <v>9.6</v>
      </c>
      <c r="K13">
        <v>7.7</v>
      </c>
      <c r="L13">
        <v>19.5</v>
      </c>
      <c r="M13">
        <f t="shared" si="0"/>
        <v>74.2</v>
      </c>
    </row>
    <row r="14" ht="14.25">
      <c r="M14">
        <f t="shared" si="0"/>
        <v>0</v>
      </c>
    </row>
    <row r="15" ht="14.25">
      <c r="M15">
        <f t="shared" si="0"/>
        <v>0</v>
      </c>
    </row>
    <row r="16" ht="14.25">
      <c r="M16">
        <f t="shared" si="0"/>
        <v>0</v>
      </c>
    </row>
    <row r="17" spans="5:13" ht="15.75">
      <c r="E17" s="1"/>
      <c r="M17">
        <f t="shared" si="0"/>
        <v>0</v>
      </c>
    </row>
    <row r="18" ht="14.25">
      <c r="M18">
        <f t="shared" si="0"/>
        <v>0</v>
      </c>
    </row>
    <row r="19" spans="5:13" ht="15.75">
      <c r="E19" s="1" t="s">
        <v>257</v>
      </c>
      <c r="M19">
        <f t="shared" si="0"/>
        <v>0</v>
      </c>
    </row>
    <row r="20" ht="14.25">
      <c r="M20">
        <f t="shared" si="0"/>
        <v>0</v>
      </c>
    </row>
    <row r="21" ht="14.25">
      <c r="M21">
        <f t="shared" si="0"/>
        <v>0</v>
      </c>
    </row>
    <row r="22" ht="14.25">
      <c r="M22">
        <f t="shared" si="0"/>
        <v>0</v>
      </c>
    </row>
    <row r="23" ht="14.25">
      <c r="M23">
        <f t="shared" si="0"/>
        <v>0</v>
      </c>
    </row>
    <row r="24" ht="14.25">
      <c r="M24">
        <f t="shared" si="0"/>
        <v>0</v>
      </c>
    </row>
    <row r="25" ht="14.25">
      <c r="M25">
        <f t="shared" si="0"/>
        <v>0</v>
      </c>
    </row>
    <row r="26" ht="14.25">
      <c r="M26">
        <f t="shared" si="0"/>
        <v>0</v>
      </c>
    </row>
    <row r="27" ht="14.25">
      <c r="M27">
        <f t="shared" si="0"/>
        <v>0</v>
      </c>
    </row>
    <row r="28" ht="14.25">
      <c r="M28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5"/>
  <sheetViews>
    <sheetView workbookViewId="0" topLeftCell="A1">
      <pane xSplit="2" ySplit="1" topLeftCell="E2" activePane="bottomRight" state="frozen"/>
      <selection pane="topLeft" activeCell="A1" sqref="A1"/>
      <selection pane="topRight" activeCell="J1" sqref="J1"/>
      <selection pane="bottomLeft" activeCell="A9" sqref="A9"/>
      <selection pane="bottomRight" activeCell="K42" sqref="K42"/>
    </sheetView>
  </sheetViews>
  <sheetFormatPr defaultColWidth="9.00390625" defaultRowHeight="14.25"/>
  <cols>
    <col min="1" max="1" width="14.00390625" style="0" customWidth="1"/>
    <col min="2" max="2" width="26.25390625" style="0" customWidth="1"/>
    <col min="3" max="3" width="5.875" style="0" customWidth="1"/>
    <col min="4" max="4" width="5.00390625" style="0" customWidth="1"/>
    <col min="5" max="5" width="5.75390625" style="0" customWidth="1"/>
    <col min="6" max="6" width="6.00390625" style="0" customWidth="1"/>
    <col min="7" max="7" width="4.75390625" style="0" customWidth="1"/>
    <col min="8" max="8" width="5.375" style="0" customWidth="1"/>
    <col min="9" max="9" width="4.625" style="0" customWidth="1"/>
    <col min="10" max="10" width="5.625" style="0" customWidth="1"/>
    <col min="11" max="11" width="3.875" style="0" customWidth="1"/>
    <col min="12" max="12" width="7.25390625" style="3" customWidth="1"/>
    <col min="13" max="13" width="6.00390625" style="4" customWidth="1"/>
    <col min="14" max="14" width="6.625" style="0" customWidth="1"/>
    <col min="15" max="15" width="6.00390625" style="0" customWidth="1"/>
    <col min="16" max="16" width="4.625" style="0" customWidth="1"/>
    <col min="17" max="17" width="2.25390625" style="0" customWidth="1"/>
    <col min="18" max="18" width="6.375" style="0" customWidth="1"/>
    <col min="19" max="19" width="6.25390625" style="0" customWidth="1"/>
  </cols>
  <sheetData>
    <row r="1" spans="1:19" s="5" customFormat="1" ht="15.75">
      <c r="A1" s="5" t="s">
        <v>0</v>
      </c>
      <c r="B1" s="5" t="s">
        <v>1</v>
      </c>
      <c r="C1" s="6" t="s">
        <v>2</v>
      </c>
      <c r="D1" s="6" t="s">
        <v>3</v>
      </c>
      <c r="E1" s="6" t="s">
        <v>5</v>
      </c>
      <c r="F1" s="6" t="s">
        <v>6</v>
      </c>
      <c r="G1" s="6" t="s">
        <v>4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8" t="s">
        <v>164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</row>
    <row r="2" spans="1:19" ht="15.75">
      <c r="A2" s="1" t="s">
        <v>55</v>
      </c>
      <c r="C2">
        <v>8.4</v>
      </c>
      <c r="D2">
        <v>11.3</v>
      </c>
      <c r="E2">
        <v>6.3</v>
      </c>
      <c r="F2">
        <v>7.6</v>
      </c>
      <c r="G2">
        <v>25.1</v>
      </c>
      <c r="H2">
        <v>19.4</v>
      </c>
      <c r="I2">
        <v>17.6</v>
      </c>
      <c r="J2">
        <v>16.8</v>
      </c>
      <c r="K2">
        <v>0.6</v>
      </c>
      <c r="L2" s="3">
        <f aca="true" t="shared" si="0" ref="L2:L19">2*(C2+D2+4*K2)</f>
        <v>44.2</v>
      </c>
      <c r="M2" s="4">
        <f aca="true" t="shared" si="1" ref="M2:M19">(H2-C2-2*K2)/2</f>
        <v>4.8999999999999995</v>
      </c>
      <c r="N2">
        <f>M2*E2</f>
        <v>30.869999999999997</v>
      </c>
      <c r="O2">
        <f>M2*F2</f>
        <v>37.239999999999995</v>
      </c>
      <c r="P2">
        <v>1</v>
      </c>
      <c r="Q2">
        <v>1</v>
      </c>
      <c r="R2">
        <f>3.14*(P2/2)^2</f>
        <v>0.785</v>
      </c>
      <c r="S2">
        <f>R2*Q2</f>
        <v>0.785</v>
      </c>
    </row>
    <row r="3" spans="1:19" ht="15.75">
      <c r="A3" s="1" t="s">
        <v>74</v>
      </c>
      <c r="C3">
        <v>45.3</v>
      </c>
      <c r="D3">
        <v>50.5</v>
      </c>
      <c r="E3">
        <v>61.2</v>
      </c>
      <c r="G3">
        <v>93.5</v>
      </c>
      <c r="H3">
        <v>87</v>
      </c>
      <c r="K3">
        <v>2</v>
      </c>
      <c r="L3" s="3">
        <f t="shared" si="0"/>
        <v>207.6</v>
      </c>
      <c r="M3" s="4">
        <f t="shared" si="1"/>
        <v>18.85</v>
      </c>
      <c r="N3">
        <f>M3*E3</f>
        <v>1153.6200000000001</v>
      </c>
      <c r="O3">
        <f>M3*F3</f>
        <v>0</v>
      </c>
      <c r="P3">
        <v>1</v>
      </c>
      <c r="Q3">
        <v>1</v>
      </c>
      <c r="R3">
        <f>3.14*(P3/2)^2</f>
        <v>0.785</v>
      </c>
      <c r="S3">
        <f>R3*Q3</f>
        <v>0.785</v>
      </c>
    </row>
    <row r="4" spans="1:13" ht="15.75">
      <c r="A4" s="1" t="s">
        <v>78</v>
      </c>
      <c r="C4">
        <v>26</v>
      </c>
      <c r="D4">
        <v>28.5</v>
      </c>
      <c r="E4">
        <v>34.4</v>
      </c>
      <c r="K4">
        <v>1</v>
      </c>
      <c r="L4" s="3">
        <f t="shared" si="0"/>
        <v>117</v>
      </c>
      <c r="M4" s="4">
        <f t="shared" si="1"/>
        <v>-14</v>
      </c>
    </row>
    <row r="5" spans="1:13" ht="15.75">
      <c r="A5" s="1" t="s">
        <v>86</v>
      </c>
      <c r="C5">
        <v>6.8</v>
      </c>
      <c r="D5">
        <v>6.8</v>
      </c>
      <c r="E5">
        <v>10.1</v>
      </c>
      <c r="H5">
        <v>18</v>
      </c>
      <c r="K5">
        <v>0.8</v>
      </c>
      <c r="L5" s="3">
        <f t="shared" si="0"/>
        <v>33.6</v>
      </c>
      <c r="M5" s="4">
        <f t="shared" si="1"/>
        <v>4.8</v>
      </c>
    </row>
    <row r="6" spans="1:13" ht="15.75">
      <c r="A6" s="1" t="s">
        <v>87</v>
      </c>
      <c r="C6">
        <v>13.7</v>
      </c>
      <c r="D6">
        <v>13.7</v>
      </c>
      <c r="E6">
        <v>9.1</v>
      </c>
      <c r="F6">
        <v>9.1</v>
      </c>
      <c r="H6">
        <v>28</v>
      </c>
      <c r="K6">
        <v>0.8</v>
      </c>
      <c r="L6" s="3">
        <f t="shared" si="0"/>
        <v>61.199999999999996</v>
      </c>
      <c r="M6" s="4">
        <f t="shared" si="1"/>
        <v>6.3500000000000005</v>
      </c>
    </row>
    <row r="7" spans="1:13" ht="15.75">
      <c r="A7" s="1" t="s">
        <v>90</v>
      </c>
      <c r="B7" s="1" t="s">
        <v>251</v>
      </c>
      <c r="C7">
        <v>12.1</v>
      </c>
      <c r="D7">
        <v>14.3</v>
      </c>
      <c r="E7">
        <v>7</v>
      </c>
      <c r="F7">
        <v>5.1</v>
      </c>
      <c r="H7">
        <v>19.8</v>
      </c>
      <c r="L7" s="3">
        <f t="shared" si="0"/>
        <v>52.8</v>
      </c>
      <c r="M7" s="4">
        <f t="shared" si="1"/>
        <v>3.8500000000000005</v>
      </c>
    </row>
    <row r="8" spans="1:13" ht="15.75">
      <c r="A8" s="1" t="s">
        <v>252</v>
      </c>
      <c r="B8" s="1" t="s">
        <v>254</v>
      </c>
      <c r="C8">
        <v>10.2</v>
      </c>
      <c r="D8">
        <v>17.9</v>
      </c>
      <c r="E8">
        <v>7</v>
      </c>
      <c r="F8">
        <v>7</v>
      </c>
      <c r="H8">
        <v>19.7</v>
      </c>
      <c r="L8" s="3">
        <f t="shared" si="0"/>
        <v>56.199999999999996</v>
      </c>
      <c r="M8" s="4">
        <f t="shared" si="1"/>
        <v>4.75</v>
      </c>
    </row>
    <row r="9" spans="1:13" ht="15.75">
      <c r="A9" s="1" t="s">
        <v>92</v>
      </c>
      <c r="C9">
        <v>10.4</v>
      </c>
      <c r="D9">
        <v>23</v>
      </c>
      <c r="E9">
        <v>7</v>
      </c>
      <c r="F9">
        <v>5.1</v>
      </c>
      <c r="H9">
        <v>19.5</v>
      </c>
      <c r="K9">
        <v>0.8</v>
      </c>
      <c r="L9" s="3">
        <f t="shared" si="0"/>
        <v>73.2</v>
      </c>
      <c r="M9" s="4">
        <f t="shared" si="1"/>
        <v>3.75</v>
      </c>
    </row>
    <row r="10" spans="1:13" ht="15.75">
      <c r="A10" s="1" t="s">
        <v>97</v>
      </c>
      <c r="C10">
        <v>26</v>
      </c>
      <c r="D10">
        <v>30</v>
      </c>
      <c r="E10">
        <v>35</v>
      </c>
      <c r="H10">
        <v>48.6</v>
      </c>
      <c r="K10">
        <v>1.3</v>
      </c>
      <c r="L10" s="3">
        <f t="shared" si="0"/>
        <v>122.4</v>
      </c>
      <c r="M10" s="4">
        <f t="shared" si="1"/>
        <v>10</v>
      </c>
    </row>
    <row r="11" spans="1:13" ht="15.75">
      <c r="A11" s="1" t="s">
        <v>98</v>
      </c>
      <c r="C11">
        <v>18.5</v>
      </c>
      <c r="D11">
        <v>18.6</v>
      </c>
      <c r="E11">
        <v>10</v>
      </c>
      <c r="F11">
        <v>10</v>
      </c>
      <c r="H11">
        <v>29.5</v>
      </c>
      <c r="L11" s="3">
        <f t="shared" si="0"/>
        <v>74.2</v>
      </c>
      <c r="M11" s="4">
        <f t="shared" si="1"/>
        <v>5.5</v>
      </c>
    </row>
    <row r="12" spans="1:13" ht="15.75">
      <c r="A12" s="1" t="s">
        <v>162</v>
      </c>
      <c r="B12" s="1" t="s">
        <v>163</v>
      </c>
      <c r="C12">
        <v>14.5</v>
      </c>
      <c r="D12">
        <v>14.5</v>
      </c>
      <c r="E12">
        <v>19.2</v>
      </c>
      <c r="F12">
        <v>19.2</v>
      </c>
      <c r="G12">
        <v>53.4</v>
      </c>
      <c r="H12">
        <v>28</v>
      </c>
      <c r="K12">
        <v>1.3</v>
      </c>
      <c r="L12" s="3">
        <f t="shared" si="0"/>
        <v>68.4</v>
      </c>
      <c r="M12" s="4">
        <f t="shared" si="1"/>
        <v>5.45</v>
      </c>
    </row>
    <row r="13" spans="1:13" ht="15.75">
      <c r="A13" s="1" t="s">
        <v>166</v>
      </c>
      <c r="B13" s="1" t="s">
        <v>167</v>
      </c>
      <c r="C13">
        <v>26</v>
      </c>
      <c r="D13">
        <v>43.2</v>
      </c>
      <c r="E13">
        <v>16</v>
      </c>
      <c r="F13">
        <v>16</v>
      </c>
      <c r="G13">
        <v>65.5</v>
      </c>
      <c r="H13">
        <v>49</v>
      </c>
      <c r="I13">
        <v>46</v>
      </c>
      <c r="J13">
        <v>37</v>
      </c>
      <c r="K13">
        <v>1.2</v>
      </c>
      <c r="L13" s="3">
        <f t="shared" si="0"/>
        <v>148</v>
      </c>
      <c r="M13" s="4">
        <f t="shared" si="1"/>
        <v>10.3</v>
      </c>
    </row>
    <row r="14" spans="1:13" ht="15.75">
      <c r="A14" s="1" t="s">
        <v>168</v>
      </c>
      <c r="B14" s="1" t="s">
        <v>169</v>
      </c>
      <c r="C14">
        <v>22.5</v>
      </c>
      <c r="D14">
        <v>35.8</v>
      </c>
      <c r="E14">
        <v>30.2</v>
      </c>
      <c r="G14">
        <v>58</v>
      </c>
      <c r="H14">
        <v>43.5</v>
      </c>
      <c r="I14">
        <v>34.8</v>
      </c>
      <c r="J14">
        <v>32.6</v>
      </c>
      <c r="K14">
        <v>1.2</v>
      </c>
      <c r="L14" s="3">
        <f t="shared" si="0"/>
        <v>126.19999999999999</v>
      </c>
      <c r="M14" s="4">
        <f t="shared" si="1"/>
        <v>9.3</v>
      </c>
    </row>
    <row r="15" spans="1:13" ht="15.75">
      <c r="A15" s="1" t="s">
        <v>174</v>
      </c>
      <c r="C15">
        <v>18.5</v>
      </c>
      <c r="D15">
        <v>13.2</v>
      </c>
      <c r="E15">
        <v>16</v>
      </c>
      <c r="F15">
        <v>28</v>
      </c>
      <c r="H15">
        <v>46.7</v>
      </c>
      <c r="K15">
        <v>1.2</v>
      </c>
      <c r="L15" s="3">
        <f t="shared" si="0"/>
        <v>73</v>
      </c>
      <c r="M15" s="4">
        <f t="shared" si="1"/>
        <v>12.900000000000002</v>
      </c>
    </row>
    <row r="16" spans="1:13" ht="15.75">
      <c r="A16" s="1" t="s">
        <v>171</v>
      </c>
      <c r="C16">
        <v>6.8</v>
      </c>
      <c r="D16">
        <v>6.8</v>
      </c>
      <c r="E16">
        <v>8.4</v>
      </c>
      <c r="H16">
        <v>13.7</v>
      </c>
      <c r="L16" s="3">
        <f t="shared" si="0"/>
        <v>27.2</v>
      </c>
      <c r="M16" s="4">
        <f t="shared" si="1"/>
        <v>3.4499999999999997</v>
      </c>
    </row>
    <row r="17" spans="1:13" ht="15.75">
      <c r="A17" s="1" t="s">
        <v>172</v>
      </c>
      <c r="B17" s="1" t="s">
        <v>173</v>
      </c>
      <c r="C17">
        <v>19.5</v>
      </c>
      <c r="D17">
        <v>25.5</v>
      </c>
      <c r="E17">
        <v>25.6</v>
      </c>
      <c r="G17">
        <v>49.6</v>
      </c>
      <c r="H17">
        <v>36</v>
      </c>
      <c r="K17">
        <v>1</v>
      </c>
      <c r="L17" s="3">
        <f t="shared" si="0"/>
        <v>98</v>
      </c>
      <c r="M17" s="4">
        <f t="shared" si="1"/>
        <v>7.25</v>
      </c>
    </row>
    <row r="18" spans="1:13" ht="15.75">
      <c r="A18" s="1" t="s">
        <v>175</v>
      </c>
      <c r="B18" s="1" t="s">
        <v>176</v>
      </c>
      <c r="C18">
        <v>16.5</v>
      </c>
      <c r="D18">
        <v>16.5</v>
      </c>
      <c r="E18">
        <v>10.4</v>
      </c>
      <c r="F18">
        <v>10.4</v>
      </c>
      <c r="H18">
        <v>29.5</v>
      </c>
      <c r="K18">
        <v>1</v>
      </c>
      <c r="L18" s="3">
        <f t="shared" si="0"/>
        <v>74</v>
      </c>
      <c r="M18" s="4">
        <f t="shared" si="1"/>
        <v>5.5</v>
      </c>
    </row>
    <row r="19" spans="2:13" ht="15.75">
      <c r="B19" s="1" t="s">
        <v>177</v>
      </c>
      <c r="L19" s="3">
        <f t="shared" si="0"/>
        <v>0</v>
      </c>
      <c r="M19" s="4">
        <f t="shared" si="1"/>
        <v>0</v>
      </c>
    </row>
    <row r="20" spans="1:13" ht="15.75">
      <c r="A20" s="1" t="s">
        <v>198</v>
      </c>
      <c r="B20" s="1" t="s">
        <v>199</v>
      </c>
      <c r="C20">
        <v>18.1</v>
      </c>
      <c r="D20">
        <v>28.1</v>
      </c>
      <c r="E20">
        <v>10</v>
      </c>
      <c r="F20">
        <v>10</v>
      </c>
      <c r="H20">
        <v>31.4</v>
      </c>
      <c r="L20" s="3">
        <f>2*(C20+D20+4*K20)</f>
        <v>92.4</v>
      </c>
      <c r="M20" s="4">
        <f>(H20-C20-2*K20)/2</f>
        <v>6.649999999999999</v>
      </c>
    </row>
    <row r="21" spans="1:13" ht="15.75">
      <c r="A21" s="1" t="s">
        <v>206</v>
      </c>
      <c r="B21" s="1" t="s">
        <v>207</v>
      </c>
      <c r="C21">
        <v>35.7</v>
      </c>
      <c r="D21">
        <v>70</v>
      </c>
      <c r="E21">
        <v>48.5</v>
      </c>
      <c r="H21">
        <v>69.2</v>
      </c>
      <c r="K21">
        <v>1.2</v>
      </c>
      <c r="L21" s="3">
        <f>2*(C21+D21+4*K21)</f>
        <v>221</v>
      </c>
      <c r="M21" s="4">
        <f>(H21-C21-2*K21)/2</f>
        <v>15.55</v>
      </c>
    </row>
    <row r="22" spans="1:13" ht="15.75">
      <c r="A22" s="1" t="s">
        <v>240</v>
      </c>
      <c r="C22">
        <v>24.4</v>
      </c>
      <c r="D22">
        <v>28.7</v>
      </c>
      <c r="E22">
        <v>12.6</v>
      </c>
      <c r="F22">
        <v>12.6</v>
      </c>
      <c r="H22">
        <v>41.8</v>
      </c>
      <c r="L22" s="3">
        <f>2*(C22+D22+4*K22)</f>
        <v>106.19999999999999</v>
      </c>
      <c r="M22" s="4">
        <f aca="true" t="shared" si="2" ref="M22:M41">(H22-C22-2*K22)/2</f>
        <v>8.7</v>
      </c>
    </row>
    <row r="23" spans="1:13" ht="15.75">
      <c r="A23" s="1" t="s">
        <v>247</v>
      </c>
      <c r="C23">
        <v>7.1</v>
      </c>
      <c r="D23">
        <v>7.1</v>
      </c>
      <c r="L23" s="3">
        <f>2*(C23+D23+4*K23)</f>
        <v>28.4</v>
      </c>
      <c r="M23" s="4">
        <f t="shared" si="2"/>
        <v>-3.55</v>
      </c>
    </row>
    <row r="24" spans="1:13" ht="15.75">
      <c r="A24" s="1" t="s">
        <v>250</v>
      </c>
      <c r="C24">
        <v>6.45</v>
      </c>
      <c r="D24">
        <v>6.9</v>
      </c>
      <c r="E24">
        <v>8.5</v>
      </c>
      <c r="H24">
        <v>13.7</v>
      </c>
      <c r="L24" s="3">
        <f>2*(C24+D24+4*K24)</f>
        <v>26.700000000000003</v>
      </c>
      <c r="M24" s="4">
        <f t="shared" si="2"/>
        <v>3.6249999999999996</v>
      </c>
    </row>
    <row r="25" spans="1:13" ht="15.75">
      <c r="A25" s="1" t="s">
        <v>253</v>
      </c>
      <c r="B25" s="1" t="s">
        <v>254</v>
      </c>
      <c r="L25" s="3">
        <f aca="true" t="shared" si="3" ref="L25:L45">2*(C25+D25+4*K25)</f>
        <v>0</v>
      </c>
      <c r="M25" s="4">
        <f t="shared" si="2"/>
        <v>0</v>
      </c>
    </row>
    <row r="26" spans="2:13" ht="15.75">
      <c r="B26" s="1" t="s">
        <v>255</v>
      </c>
      <c r="L26" s="3">
        <f t="shared" si="3"/>
        <v>0</v>
      </c>
      <c r="M26" s="4">
        <f t="shared" si="2"/>
        <v>0</v>
      </c>
    </row>
    <row r="27" spans="3:13" ht="14.25">
      <c r="C27">
        <v>6.2</v>
      </c>
      <c r="D27">
        <v>6.2</v>
      </c>
      <c r="E27">
        <v>5.7</v>
      </c>
      <c r="F27">
        <v>5.7</v>
      </c>
      <c r="H27">
        <v>13.8</v>
      </c>
      <c r="L27" s="3">
        <f t="shared" si="3"/>
        <v>24.8</v>
      </c>
      <c r="M27" s="4">
        <f t="shared" si="2"/>
        <v>3.8000000000000003</v>
      </c>
    </row>
    <row r="28" spans="1:13" ht="15.75">
      <c r="A28" s="1" t="s">
        <v>258</v>
      </c>
      <c r="B28" s="1" t="s">
        <v>259</v>
      </c>
      <c r="C28">
        <v>16.5</v>
      </c>
      <c r="D28">
        <v>16.5</v>
      </c>
      <c r="E28">
        <v>21.6</v>
      </c>
      <c r="H28">
        <v>28</v>
      </c>
      <c r="K28">
        <v>0.8</v>
      </c>
      <c r="L28" s="3">
        <f t="shared" si="3"/>
        <v>72.4</v>
      </c>
      <c r="M28" s="4">
        <f t="shared" si="2"/>
        <v>4.95</v>
      </c>
    </row>
    <row r="29" spans="1:13" ht="15.75">
      <c r="A29" s="1" t="s">
        <v>384</v>
      </c>
      <c r="B29" s="1" t="s">
        <v>385</v>
      </c>
      <c r="C29">
        <v>18.5</v>
      </c>
      <c r="D29">
        <v>18.8</v>
      </c>
      <c r="E29">
        <v>11.6</v>
      </c>
      <c r="F29">
        <v>11.6</v>
      </c>
      <c r="H29">
        <v>35.2</v>
      </c>
      <c r="K29">
        <v>1.2</v>
      </c>
      <c r="L29" s="3">
        <f t="shared" si="3"/>
        <v>84.19999999999999</v>
      </c>
      <c r="M29" s="4">
        <f t="shared" si="2"/>
        <v>7.150000000000001</v>
      </c>
    </row>
    <row r="30" spans="1:13" ht="15.75">
      <c r="A30" s="1" t="s">
        <v>386</v>
      </c>
      <c r="B30" s="1" t="s">
        <v>387</v>
      </c>
      <c r="L30" s="3">
        <f t="shared" si="3"/>
        <v>0</v>
      </c>
      <c r="M30" s="4">
        <f t="shared" si="2"/>
        <v>0</v>
      </c>
    </row>
    <row r="31" spans="2:13" ht="15.75">
      <c r="B31" s="1" t="s">
        <v>390</v>
      </c>
      <c r="D31" s="1"/>
      <c r="L31" s="3">
        <f t="shared" si="3"/>
        <v>0</v>
      </c>
      <c r="M31" s="4">
        <f t="shared" si="2"/>
        <v>0</v>
      </c>
    </row>
    <row r="32" spans="1:13" ht="15.75">
      <c r="A32" s="1" t="s">
        <v>395</v>
      </c>
      <c r="B32" s="1" t="s">
        <v>401</v>
      </c>
      <c r="C32">
        <v>13.3</v>
      </c>
      <c r="D32" s="1">
        <v>13.6</v>
      </c>
      <c r="E32">
        <v>16.7</v>
      </c>
      <c r="H32">
        <v>25</v>
      </c>
      <c r="L32" s="3">
        <f t="shared" si="3"/>
        <v>53.8</v>
      </c>
      <c r="M32" s="4">
        <f t="shared" si="2"/>
        <v>5.85</v>
      </c>
    </row>
    <row r="33" spans="1:13" ht="15.75">
      <c r="A33" s="1" t="s">
        <v>414</v>
      </c>
      <c r="C33">
        <v>38.2</v>
      </c>
      <c r="D33" s="1">
        <v>50.1</v>
      </c>
      <c r="E33">
        <v>51.7</v>
      </c>
      <c r="H33">
        <v>72.8</v>
      </c>
      <c r="K33">
        <v>1.2</v>
      </c>
      <c r="L33" s="3">
        <f t="shared" si="3"/>
        <v>186.20000000000002</v>
      </c>
      <c r="M33" s="4">
        <f t="shared" si="2"/>
        <v>16.099999999999998</v>
      </c>
    </row>
    <row r="34" spans="1:13" ht="15.75">
      <c r="A34" s="1" t="s">
        <v>415</v>
      </c>
      <c r="B34">
        <v>47043.9</v>
      </c>
      <c r="C34">
        <v>10.4</v>
      </c>
      <c r="D34" s="1">
        <v>16.5</v>
      </c>
      <c r="E34" s="1">
        <v>13</v>
      </c>
      <c r="F34" s="1">
        <v>13</v>
      </c>
      <c r="H34">
        <v>20</v>
      </c>
      <c r="K34">
        <v>0.9</v>
      </c>
      <c r="L34" s="3">
        <f t="shared" si="3"/>
        <v>61</v>
      </c>
      <c r="M34" s="4">
        <f t="shared" si="2"/>
        <v>3.9</v>
      </c>
    </row>
    <row r="35" spans="1:13" ht="15.75">
      <c r="A35" s="1" t="s">
        <v>416</v>
      </c>
      <c r="B35">
        <v>3092</v>
      </c>
      <c r="C35">
        <v>13.6</v>
      </c>
      <c r="D35" s="1">
        <v>17</v>
      </c>
      <c r="E35" s="1">
        <v>17.6</v>
      </c>
      <c r="F35" s="1">
        <v>17.6</v>
      </c>
      <c r="H35">
        <v>25.9</v>
      </c>
      <c r="K35">
        <v>1</v>
      </c>
      <c r="L35" s="3">
        <f t="shared" si="3"/>
        <v>69.2</v>
      </c>
      <c r="M35" s="4">
        <f t="shared" si="2"/>
        <v>5.1499999999999995</v>
      </c>
    </row>
    <row r="36" spans="1:13" ht="15.75">
      <c r="A36" s="1" t="s">
        <v>418</v>
      </c>
      <c r="B36" s="1" t="s">
        <v>419</v>
      </c>
      <c r="C36">
        <v>11.7</v>
      </c>
      <c r="D36" s="1">
        <v>16.3</v>
      </c>
      <c r="E36" s="1">
        <v>8.8</v>
      </c>
      <c r="F36" s="1">
        <v>6.4</v>
      </c>
      <c r="H36">
        <v>22.7</v>
      </c>
      <c r="L36" s="3">
        <f t="shared" si="3"/>
        <v>56</v>
      </c>
      <c r="M36" s="4">
        <f t="shared" si="2"/>
        <v>5.5</v>
      </c>
    </row>
    <row r="37" spans="1:13" ht="15.75">
      <c r="A37" s="1" t="s">
        <v>423</v>
      </c>
      <c r="B37" s="1" t="s">
        <v>422</v>
      </c>
      <c r="C37">
        <v>15</v>
      </c>
      <c r="D37" s="1">
        <v>19.2</v>
      </c>
      <c r="E37" s="1">
        <v>6.5</v>
      </c>
      <c r="F37" s="1">
        <v>6.5</v>
      </c>
      <c r="H37">
        <v>25.8</v>
      </c>
      <c r="L37" s="3">
        <f t="shared" si="3"/>
        <v>68.4</v>
      </c>
      <c r="M37" s="4">
        <f t="shared" si="2"/>
        <v>5.4</v>
      </c>
    </row>
    <row r="38" spans="1:13" ht="15.75">
      <c r="A38" s="1" t="s">
        <v>425</v>
      </c>
      <c r="B38" s="1" t="s">
        <v>424</v>
      </c>
      <c r="C38">
        <v>13.5</v>
      </c>
      <c r="D38" s="1">
        <v>16.5</v>
      </c>
      <c r="E38" s="1">
        <v>6.6</v>
      </c>
      <c r="F38" s="1">
        <v>6.6</v>
      </c>
      <c r="H38">
        <v>25.8</v>
      </c>
      <c r="K38">
        <v>0.75</v>
      </c>
      <c r="L38" s="3">
        <f t="shared" si="3"/>
        <v>66</v>
      </c>
      <c r="M38" s="4">
        <f t="shared" si="2"/>
        <v>5.4</v>
      </c>
    </row>
    <row r="39" spans="1:13" ht="15.75">
      <c r="A39" s="1" t="s">
        <v>426</v>
      </c>
      <c r="B39">
        <v>23209.3</v>
      </c>
      <c r="C39">
        <v>40.8</v>
      </c>
      <c r="D39" s="1">
        <v>50.7</v>
      </c>
      <c r="E39" s="1">
        <v>54.8</v>
      </c>
      <c r="H39">
        <v>77.5</v>
      </c>
      <c r="K39">
        <v>2</v>
      </c>
      <c r="L39" s="3">
        <f t="shared" si="3"/>
        <v>199</v>
      </c>
      <c r="M39" s="4">
        <f t="shared" si="2"/>
        <v>16.35</v>
      </c>
    </row>
    <row r="40" spans="1:13" ht="15.75">
      <c r="A40" s="1" t="s">
        <v>442</v>
      </c>
      <c r="B40" t="s">
        <v>441</v>
      </c>
      <c r="C40">
        <v>22.5</v>
      </c>
      <c r="D40" s="1">
        <v>16.5</v>
      </c>
      <c r="E40" s="1">
        <v>12.6</v>
      </c>
      <c r="F40" s="1">
        <v>12.6</v>
      </c>
      <c r="H40">
        <v>37.2</v>
      </c>
      <c r="K40">
        <v>0.95</v>
      </c>
      <c r="L40" s="3">
        <f t="shared" si="3"/>
        <v>85.6</v>
      </c>
      <c r="M40" s="4">
        <f t="shared" si="2"/>
        <v>6.400000000000001</v>
      </c>
    </row>
    <row r="41" spans="12:13" ht="14.25">
      <c r="L41" s="3">
        <f t="shared" si="3"/>
        <v>0</v>
      </c>
      <c r="M41" s="4">
        <f t="shared" si="2"/>
        <v>0</v>
      </c>
    </row>
    <row r="42" ht="14.25">
      <c r="L42" s="3">
        <f t="shared" si="3"/>
        <v>0</v>
      </c>
    </row>
    <row r="43" ht="14.25">
      <c r="L43" s="3">
        <f t="shared" si="3"/>
        <v>0</v>
      </c>
    </row>
    <row r="44" ht="14.25">
      <c r="L44" s="3">
        <f t="shared" si="3"/>
        <v>0</v>
      </c>
    </row>
    <row r="45" ht="14.25">
      <c r="L45" s="3">
        <f t="shared" si="3"/>
        <v>0</v>
      </c>
    </row>
  </sheetData>
  <autoFilter ref="A1:S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64"/>
  <sheetViews>
    <sheetView tabSelected="1" zoomScale="70" zoomScaleNormal="70" zoomScaleSheetLayoutView="65" workbookViewId="0" topLeftCell="A1">
      <pane xSplit="19" ySplit="1" topLeftCell="T2" activePane="bottomRight" state="frozen"/>
      <selection pane="topLeft" activeCell="A1" sqref="A1"/>
      <selection pane="topRight" activeCell="T1" sqref="T1"/>
      <selection pane="bottomLeft" activeCell="A11" sqref="A11"/>
      <selection pane="bottomRight" activeCell="F10" sqref="F10"/>
    </sheetView>
  </sheetViews>
  <sheetFormatPr defaultColWidth="9.00390625" defaultRowHeight="14.25"/>
  <cols>
    <col min="1" max="1" width="6.50390625" style="2" customWidth="1"/>
    <col min="2" max="2" width="7.25390625" style="2" customWidth="1"/>
    <col min="3" max="3" width="7.00390625" style="2" customWidth="1"/>
    <col min="4" max="4" width="6.25390625" style="2" customWidth="1"/>
    <col min="5" max="5" width="8.125" style="2" customWidth="1"/>
    <col min="6" max="6" width="6.75390625" style="2" customWidth="1"/>
    <col min="7" max="7" width="7.00390625" style="2" customWidth="1"/>
    <col min="8" max="8" width="9.00390625" style="2" customWidth="1"/>
    <col min="9" max="9" width="7.625" style="2" customWidth="1"/>
    <col min="10" max="10" width="5.75390625" style="2" customWidth="1"/>
    <col min="11" max="11" width="5.00390625" style="2" customWidth="1"/>
    <col min="12" max="12" width="5.875" style="2" customWidth="1"/>
    <col min="13" max="13" width="7.50390625" style="2" customWidth="1"/>
    <col min="14" max="15" width="9.00390625" style="2" customWidth="1"/>
    <col min="16" max="16" width="7.375" style="2" customWidth="1"/>
    <col min="17" max="17" width="4.875" style="2" customWidth="1"/>
    <col min="18" max="18" width="8.25390625" style="2" customWidth="1"/>
    <col min="19" max="19" width="6.625" style="2" customWidth="1"/>
    <col min="20" max="16384" width="9.00390625" style="2" customWidth="1"/>
  </cols>
  <sheetData>
    <row r="1" spans="1:19" ht="24" customHeight="1" thickBot="1">
      <c r="A1" s="280" t="s">
        <v>412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</row>
    <row r="2" spans="1:19" ht="15.75" customHeight="1">
      <c r="A2" s="283" t="s">
        <v>51</v>
      </c>
      <c r="B2" s="284"/>
      <c r="C2" s="284"/>
      <c r="D2" s="270" t="s">
        <v>93</v>
      </c>
      <c r="E2" s="270"/>
      <c r="F2" s="270"/>
      <c r="G2" s="287" t="s">
        <v>52</v>
      </c>
      <c r="H2" s="287"/>
      <c r="I2" s="271" t="s">
        <v>53</v>
      </c>
      <c r="J2" s="271"/>
      <c r="K2" s="271"/>
      <c r="L2" s="270" t="s">
        <v>96</v>
      </c>
      <c r="M2" s="270"/>
      <c r="N2" s="52" t="s">
        <v>94</v>
      </c>
      <c r="O2" s="52" t="s">
        <v>95</v>
      </c>
      <c r="P2" s="52" t="s">
        <v>165</v>
      </c>
      <c r="Q2" s="47" t="s">
        <v>443</v>
      </c>
      <c r="R2" s="53">
        <f>IF(Q2="H50",0.5,IF(Q2="Z11",0.35,IF(Q2="H18T",0.5,IF(Q2="H18L",0.35,IF(Q2="H18",0.5)))))</f>
        <v>0.35</v>
      </c>
      <c r="S2" s="106" t="s">
        <v>99</v>
      </c>
    </row>
    <row r="3" spans="1:19" ht="16.5" thickBot="1">
      <c r="A3" s="286"/>
      <c r="B3" s="273"/>
      <c r="C3" s="273"/>
      <c r="D3" s="285"/>
      <c r="E3" s="285"/>
      <c r="F3" s="285"/>
      <c r="G3" s="288"/>
      <c r="H3" s="288"/>
      <c r="I3" s="46" t="s">
        <v>420</v>
      </c>
      <c r="J3" s="272">
        <v>66</v>
      </c>
      <c r="K3" s="273"/>
      <c r="L3" s="282" t="str">
        <f>ROUND(100*(C15-R15)/C15,1)&amp;"%"</f>
        <v>26.4%</v>
      </c>
      <c r="M3" s="282"/>
      <c r="N3" s="54" t="str">
        <f>ROUND(B8*C8,1)&amp;"W"</f>
        <v>35.9W</v>
      </c>
      <c r="O3" s="54" t="str">
        <f>ROUND(100*(R15*D15+R16*D16+R17*D17+R29*D18+D19*R19)/(B8*C8),2)&amp;"%"</f>
        <v>72.57%</v>
      </c>
      <c r="P3" s="55" t="s">
        <v>48</v>
      </c>
      <c r="Q3" s="48"/>
      <c r="R3" s="55" t="s">
        <v>50</v>
      </c>
      <c r="S3" s="49">
        <v>0.98</v>
      </c>
    </row>
    <row r="4" spans="1:19" ht="15.75">
      <c r="A4" s="57" t="s">
        <v>54</v>
      </c>
      <c r="B4" s="264" t="str">
        <f>R5&amp;"*"&amp;P5</f>
        <v>EI66*16</v>
      </c>
      <c r="C4" s="264"/>
      <c r="D4" s="58" t="s">
        <v>249</v>
      </c>
      <c r="E4" s="50">
        <v>6.4</v>
      </c>
      <c r="F4" s="57" t="s">
        <v>37</v>
      </c>
      <c r="G4" s="151">
        <f>ROUND(P5*O5*0.01*S3,3)</f>
        <v>3.45</v>
      </c>
      <c r="H4" s="45" t="s">
        <v>19</v>
      </c>
      <c r="I4" s="50">
        <v>1.564</v>
      </c>
      <c r="J4" s="59"/>
      <c r="K4" s="269" t="s">
        <v>85</v>
      </c>
      <c r="L4" s="269"/>
      <c r="M4" s="50">
        <v>25</v>
      </c>
      <c r="N4" s="275" t="s">
        <v>43</v>
      </c>
      <c r="O4" s="45" t="s">
        <v>44</v>
      </c>
      <c r="P4" s="45" t="s">
        <v>327</v>
      </c>
      <c r="Q4" s="45" t="s">
        <v>45</v>
      </c>
      <c r="R4" s="45" t="s">
        <v>46</v>
      </c>
      <c r="S4" s="60" t="s">
        <v>47</v>
      </c>
    </row>
    <row r="5" spans="1:19" ht="15.75">
      <c r="A5" s="262" t="s">
        <v>35</v>
      </c>
      <c r="B5" s="263"/>
      <c r="C5" s="48">
        <v>12.6</v>
      </c>
      <c r="D5" s="61" t="s">
        <v>34</v>
      </c>
      <c r="E5" s="62">
        <f>C5*E4</f>
        <v>80.64</v>
      </c>
      <c r="F5" s="63" t="s">
        <v>76</v>
      </c>
      <c r="G5" s="48">
        <v>9.66</v>
      </c>
      <c r="H5" s="61" t="s">
        <v>49</v>
      </c>
      <c r="I5" s="49">
        <v>50</v>
      </c>
      <c r="J5" s="64"/>
      <c r="K5" s="253" t="s">
        <v>84</v>
      </c>
      <c r="L5" s="253"/>
      <c r="M5" s="49">
        <v>65</v>
      </c>
      <c r="N5" s="259"/>
      <c r="O5" s="51">
        <v>22</v>
      </c>
      <c r="P5" s="51">
        <v>16</v>
      </c>
      <c r="Q5" s="54" t="str">
        <f>IF(K12=1,ROUND(4.44*I5*I4*G4*G5*E11*0.55*0.01*0.01,1)&amp;"W",ROUND(2.22*I4*I5*G4*G5*E11*0.55*0.01*0.01,1)&amp;"w")</f>
        <v>51.3W</v>
      </c>
      <c r="R5" s="65" t="str">
        <f>I3&amp;O5*3</f>
        <v>EI66</v>
      </c>
      <c r="S5" s="62">
        <f>IF(Q3="",ROUND(G4*O5*0.1*6*7.65,1),ROUND(G4*Q3*7.65,1))</f>
        <v>348.4</v>
      </c>
    </row>
    <row r="6" spans="1:19" ht="15.75">
      <c r="A6" s="66" t="s">
        <v>18</v>
      </c>
      <c r="B6" s="67" t="s">
        <v>20</v>
      </c>
      <c r="C6" s="68" t="s">
        <v>40</v>
      </c>
      <c r="D6" s="68" t="s">
        <v>36</v>
      </c>
      <c r="E6" s="70" t="s">
        <v>325</v>
      </c>
      <c r="F6" s="70" t="str">
        <f>IF(F11=1,"线径","厚度")</f>
        <v>线径</v>
      </c>
      <c r="G6" s="68" t="str">
        <f>IF(F11=1,"股数","宽度")</f>
        <v>股数</v>
      </c>
      <c r="H6" s="67" t="s">
        <v>22</v>
      </c>
      <c r="I6" s="67" t="s">
        <v>23</v>
      </c>
      <c r="J6" s="67" t="s">
        <v>41</v>
      </c>
      <c r="K6" s="67" t="s">
        <v>24</v>
      </c>
      <c r="L6" s="67" t="s">
        <v>42</v>
      </c>
      <c r="M6" s="67" t="s">
        <v>38</v>
      </c>
      <c r="N6" s="67" t="s">
        <v>25</v>
      </c>
      <c r="O6" s="67" t="s">
        <v>26</v>
      </c>
      <c r="P6" s="67" t="s">
        <v>27</v>
      </c>
      <c r="Q6" s="67" t="s">
        <v>28</v>
      </c>
      <c r="R6" s="67" t="s">
        <v>29</v>
      </c>
      <c r="S6" s="71" t="s">
        <v>30</v>
      </c>
    </row>
    <row r="7" spans="1:19" ht="16.5" thickBot="1">
      <c r="A7" s="185"/>
      <c r="B7" s="61"/>
      <c r="C7" s="55"/>
      <c r="D7" s="55"/>
      <c r="E7" s="55"/>
      <c r="F7" s="55"/>
      <c r="G7" s="55"/>
      <c r="H7" s="61"/>
      <c r="I7" s="76" t="s">
        <v>89</v>
      </c>
      <c r="J7" s="99">
        <v>0.08</v>
      </c>
      <c r="K7" s="99"/>
      <c r="L7" s="77">
        <f>J7*K7</f>
        <v>0</v>
      </c>
      <c r="M7" s="61"/>
      <c r="N7" s="67"/>
      <c r="O7" s="61"/>
      <c r="P7" s="61"/>
      <c r="Q7" s="61" t="s">
        <v>410</v>
      </c>
      <c r="R7" s="61">
        <f>ROUND(5.96*I5^1.41*I4^1.73*0.001,3)</f>
        <v>3.212</v>
      </c>
      <c r="S7" s="194" t="s">
        <v>411</v>
      </c>
    </row>
    <row r="8" spans="1:19" ht="16.5" customHeight="1">
      <c r="A8" s="98">
        <v>86</v>
      </c>
      <c r="B8" s="48">
        <v>115</v>
      </c>
      <c r="C8" s="54">
        <f>IF(B8&lt;&gt;"",ROUND(C15/B8*D15+C16/B8*D16+C17/B8*D17+C18/B8*D18,4),"")</f>
        <v>0.3122</v>
      </c>
      <c r="D8" s="72">
        <f>IF(B8&lt;&gt;"",IF(Q3&gt;0,ROUND(Q3*5000/E8,1),ROUND(O5*0.6*5000/E8,1)),"")</f>
        <v>68.8</v>
      </c>
      <c r="E8" s="131">
        <f>IF(B8&lt;&gt;"",ROUND(10000*B8/(4.44*I5*I4*G4),0),"")</f>
        <v>960</v>
      </c>
      <c r="F8" s="132">
        <f>IF(B8&lt;&gt;"",IF(F11=1,ROUND(1.13*(C8/G5)^0.5,3),F10),"")</f>
        <v>0.203</v>
      </c>
      <c r="G8" s="48">
        <v>1</v>
      </c>
      <c r="H8" s="72">
        <f>IF(B8&lt;&gt;"",IF(F8&lt;=0.15,1.15,1.05),"")</f>
        <v>1.05</v>
      </c>
      <c r="I8" s="72">
        <f>IF(B8&lt;&gt;"",IF(F8&lt;=0.15,1.2,1.1),"")</f>
        <v>1.1</v>
      </c>
      <c r="J8" s="54">
        <f>IF(B8&lt;&gt;"",IF(F11=1,IF(C8&gt;0,ROUND(C5/(F8)/H8,1),0),IF(C8&gt;0,ROUND(C5/G8/H8,1),0)),"")</f>
        <v>59.1</v>
      </c>
      <c r="K8" s="54">
        <f>IF(B8&lt;&gt;"",IF(F11=1,IF(C8&gt;0,ROUND(E8*G8/J8,1),0),IF(C8&gt;0,ROUND(E8/J8,1),0)),"")</f>
        <v>16.2</v>
      </c>
      <c r="L8" s="54">
        <f>IF(B8&lt;&gt;"",IF(F11=1,ROUND(K8*(F8)*I8,1),ROUND(K8*F8*I8,1)),"")</f>
        <v>3.6</v>
      </c>
      <c r="M8" s="54">
        <f>IF(B8&lt;&gt;"",IF(B8&gt;0,ROUND(A8+3.14*(2*L7+L8),1),0),"")</f>
        <v>97.3</v>
      </c>
      <c r="N8" s="150">
        <f>IF(B8&lt;&gt;"",IF(F11=1,IF(C8&gt;0,ROUND((M8*E8*17.9/((F8/2)^2*3.14*G8))/1000000,4),0),IF(C8&gt;0,ROUND((M8*E8*17.9/(F8*G8))/1000000,4),0)),"")</f>
        <v>51.6863</v>
      </c>
      <c r="O8" s="54">
        <f>IF(B8&lt;&gt;"",ROUND(N8*(0.00393*(234.5+M4+M5)),4),"")</f>
        <v>65.9148</v>
      </c>
      <c r="P8" s="54">
        <f>IF(B8&lt;&gt;"",IF(F11=1,ROUND(((F8/2)^2*3.14)*G8*M8*(E8)*8.9*0.001,3),ROUND(F8*G8*M8*(E8)*8.9*0.001,3)),"")</f>
        <v>26.893</v>
      </c>
      <c r="Q8" s="54">
        <f>IF(B8&lt;&gt;"",ROUND(O8*C8,1),"")</f>
        <v>20.6</v>
      </c>
      <c r="R8" s="54">
        <f>IF(B8&lt;&gt;"",B8-Q8,"")</f>
        <v>94.4</v>
      </c>
      <c r="S8" s="62">
        <f>IF(B8&lt;&gt;"",ROUND(O8*C8*C8,3),"")</f>
        <v>6.425</v>
      </c>
    </row>
    <row r="9" spans="1:19" ht="16.5" customHeight="1">
      <c r="A9" s="98">
        <v>86</v>
      </c>
      <c r="B9" s="48">
        <v>230</v>
      </c>
      <c r="C9" s="54">
        <f>IF(B9="","",ROUND(C15/B9*D15+C16/B9*D16+C17/B9*D17+C18/B9*D18,4))</f>
        <v>0.1561</v>
      </c>
      <c r="D9" s="72"/>
      <c r="E9" s="134">
        <f>IF(B9&lt;&gt;"",ROUND(10000*B9/(4.44*I5*I4*G4),0),"")</f>
        <v>1920</v>
      </c>
      <c r="F9" s="135">
        <f>IF(B9="","",IF(G10="",IF(F11=1,ROUND(1.13*(C9/G5)^0.5,3),F10),G10))</f>
        <v>0.203</v>
      </c>
      <c r="G9" s="48">
        <v>1</v>
      </c>
      <c r="H9" s="72">
        <f>IF(B9&lt;&gt;"",IF(F9&lt;=0.15,1.15,1.05),"")</f>
        <v>1.05</v>
      </c>
      <c r="I9" s="72">
        <f>IF(B9&lt;&gt;"",IF(F9&lt;=0.15,1.2,1.1),"")</f>
        <v>1.1</v>
      </c>
      <c r="J9" s="54">
        <f>IF(B9="","",IF(F11=1,IF(C9&gt;0,ROUND(C5/(F9)/H9,1),""),IF(C9&gt;0,ROUND(C5/G9/H9,1),"")))</f>
        <v>59.1</v>
      </c>
      <c r="K9" s="54">
        <f>IF(B9="","",IF(F11=1,IF(C9&gt;0,ROUND((E9-E8)*G9/J9,1),""),IF(C9&gt;0,ROUND((E9-E8)/J9,1),"")))</f>
        <v>16.2</v>
      </c>
      <c r="L9" s="54">
        <f>IF(B9&lt;&gt;"",IF(F11=1,ROUND(K9*(F9)*I9,1),ROUND(K9*F9*I9,1)),"")</f>
        <v>3.6</v>
      </c>
      <c r="M9" s="54">
        <f>IF(B9&lt;&gt;"",IF(B9&gt;0,ROUND(A9+3.14*(2*(L8+L7)+L9),1),0),"")</f>
        <v>119.9</v>
      </c>
      <c r="N9" s="54">
        <f>IF(B9&lt;&gt;"",IF(F11=1,IF(C9&gt;0,ROUND((M9*(E9-E8)*17.9/((F9/2)^2*3.14*G9))/1000000,4),0),IF(C9&gt;0,ROUND((M9*(E9-E8)*17.9/(F9*G9))/1000000,4),0)),"")</f>
        <v>63.6915</v>
      </c>
      <c r="O9" s="54">
        <f>IF(B9&lt;&gt;"",ROUND(N9*(0.00393*(234.5+M4+M5)),4),"")</f>
        <v>81.2248</v>
      </c>
      <c r="P9" s="54">
        <f>IF(B9&lt;&gt;"",IF(F11=1,ROUND(((F9/2)^2*3.14)*G9*M9*(E9-E8)*8.9*0.001,3),ROUND(F9*G9*M9*(E9-E8)*8.9*0.001,3)),"")</f>
        <v>33.139</v>
      </c>
      <c r="Q9" s="54">
        <f>IF(B9&lt;&gt;"",ROUND(O9*C9,1),"")</f>
        <v>12.7</v>
      </c>
      <c r="R9" s="54">
        <f>IF(B9&lt;&gt;"",B9-Q9,"")</f>
        <v>217.3</v>
      </c>
      <c r="S9" s="62">
        <f>IF(B9&lt;&gt;"",ROUND(O9*C9*C9,3),"")</f>
        <v>1.979</v>
      </c>
    </row>
    <row r="10" spans="1:19" ht="15.75">
      <c r="A10" s="74"/>
      <c r="B10" s="75"/>
      <c r="C10" s="54"/>
      <c r="D10" s="61"/>
      <c r="E10" s="133" t="s">
        <v>100</v>
      </c>
      <c r="F10" s="152">
        <v>0.2</v>
      </c>
      <c r="G10" s="153">
        <v>0.203</v>
      </c>
      <c r="H10" s="56"/>
      <c r="I10" s="76" t="s">
        <v>89</v>
      </c>
      <c r="J10" s="99">
        <v>0.139</v>
      </c>
      <c r="K10" s="99">
        <v>1</v>
      </c>
      <c r="L10" s="77">
        <f>J10*K10</f>
        <v>0.139</v>
      </c>
      <c r="M10" s="54"/>
      <c r="N10" s="54"/>
      <c r="O10" s="54"/>
      <c r="P10" s="54"/>
      <c r="Q10" s="54"/>
      <c r="R10" s="54"/>
      <c r="S10" s="62"/>
    </row>
    <row r="11" spans="1:19" ht="30" customHeight="1">
      <c r="A11" s="258"/>
      <c r="B11" s="254" t="s">
        <v>39</v>
      </c>
      <c r="C11" s="250">
        <v>12.6</v>
      </c>
      <c r="D11" s="266" t="s">
        <v>248</v>
      </c>
      <c r="E11" s="252">
        <f>C11*E4</f>
        <v>80.64</v>
      </c>
      <c r="F11" s="101">
        <v>1</v>
      </c>
      <c r="G11" s="268" t="str">
        <f>IF(F11=1,"初级用漆包圆线","初级漆包扁线/铜箔")</f>
        <v>初级用漆包圆线</v>
      </c>
      <c r="H11" s="268"/>
      <c r="I11" s="268"/>
      <c r="J11" s="61"/>
      <c r="K11" s="61" t="s">
        <v>31</v>
      </c>
      <c r="L11" s="54">
        <f>SUM(L7:L8:L9:L10)</f>
        <v>7.339</v>
      </c>
      <c r="M11" s="61"/>
      <c r="N11" s="61"/>
      <c r="O11" s="61" t="s">
        <v>32</v>
      </c>
      <c r="P11" s="54">
        <f>SUM(P8:P10)</f>
        <v>60.032000000000004</v>
      </c>
      <c r="Q11" s="61"/>
      <c r="R11" s="61" t="s">
        <v>33</v>
      </c>
      <c r="S11" s="62">
        <f>SUM(S8:S10)</f>
        <v>8.404</v>
      </c>
    </row>
    <row r="12" spans="1:19" ht="15.75">
      <c r="A12" s="259"/>
      <c r="B12" s="255"/>
      <c r="C12" s="251"/>
      <c r="D12" s="267"/>
      <c r="E12" s="253"/>
      <c r="F12" s="79">
        <f>ROUND(2*(E11*0.5/E15/3.14)^0.5,2)</f>
        <v>0.8</v>
      </c>
      <c r="G12" s="79">
        <f>ROUND(2*(E5*0.5/E8/3.14)^0.5,2)</f>
        <v>0.23</v>
      </c>
      <c r="H12" s="55" t="s">
        <v>75</v>
      </c>
      <c r="I12" s="51">
        <v>4.56</v>
      </c>
      <c r="J12" s="61" t="s">
        <v>77</v>
      </c>
      <c r="K12" s="48">
        <v>1</v>
      </c>
      <c r="L12" s="265" t="str">
        <f>IF(K12=1,"王字","工字")</f>
        <v>王字</v>
      </c>
      <c r="M12" s="265"/>
      <c r="N12" s="101">
        <v>1</v>
      </c>
      <c r="O12" s="276" t="str">
        <f>IF(N12=1,"次级用漆包圆线","次级漆包扁线/铜箔")</f>
        <v>次级用漆包圆线</v>
      </c>
      <c r="P12" s="276"/>
      <c r="Q12" s="276"/>
      <c r="R12" s="61"/>
      <c r="S12" s="80"/>
    </row>
    <row r="13" spans="1:19" ht="15.75">
      <c r="A13" s="81" t="s">
        <v>264</v>
      </c>
      <c r="B13" s="67" t="s">
        <v>18</v>
      </c>
      <c r="C13" s="67" t="s">
        <v>20</v>
      </c>
      <c r="D13" s="67" t="s">
        <v>21</v>
      </c>
      <c r="E13" s="136" t="s">
        <v>326</v>
      </c>
      <c r="F13" s="136" t="str">
        <f>IF(N12=1,"线径","厚度")</f>
        <v>线径</v>
      </c>
      <c r="G13" s="69" t="str">
        <f>IF(N12=1,"股数","宽度")</f>
        <v>股数</v>
      </c>
      <c r="H13" s="67" t="s">
        <v>22</v>
      </c>
      <c r="I13" s="67" t="s">
        <v>23</v>
      </c>
      <c r="J13" s="67" t="s">
        <v>41</v>
      </c>
      <c r="K13" s="67" t="s">
        <v>24</v>
      </c>
      <c r="L13" s="67" t="s">
        <v>42</v>
      </c>
      <c r="M13" s="67" t="s">
        <v>38</v>
      </c>
      <c r="N13" s="67" t="s">
        <v>25</v>
      </c>
      <c r="O13" s="67" t="s">
        <v>26</v>
      </c>
      <c r="P13" s="67" t="s">
        <v>27</v>
      </c>
      <c r="Q13" s="67" t="s">
        <v>28</v>
      </c>
      <c r="R13" s="146" t="s">
        <v>29</v>
      </c>
      <c r="S13" s="71" t="s">
        <v>30</v>
      </c>
    </row>
    <row r="14" spans="1:19" ht="16.5" thickBot="1">
      <c r="A14" s="186"/>
      <c r="B14" s="61"/>
      <c r="C14" s="61"/>
      <c r="D14" s="61"/>
      <c r="E14" s="187"/>
      <c r="F14" s="187"/>
      <c r="G14" s="61"/>
      <c r="H14" s="61"/>
      <c r="I14" s="61"/>
      <c r="J14" s="100">
        <v>0.08</v>
      </c>
      <c r="K14" s="100"/>
      <c r="L14" s="85">
        <f>J14*K14</f>
        <v>0</v>
      </c>
      <c r="M14" s="61"/>
      <c r="N14" s="69"/>
      <c r="O14" s="61"/>
      <c r="P14" s="69"/>
      <c r="Q14" s="61"/>
      <c r="R14" s="188"/>
      <c r="S14" s="80"/>
    </row>
    <row r="15" spans="1:19" ht="15.75">
      <c r="A15" s="82">
        <v>1</v>
      </c>
      <c r="B15" s="48">
        <v>86</v>
      </c>
      <c r="C15" s="48">
        <v>9.6</v>
      </c>
      <c r="D15" s="48">
        <v>1.87</v>
      </c>
      <c r="E15" s="138">
        <f>IF(C15&lt;&gt;"",ROUND(10000*C15/(4.44*I4*I5*G4),0),"")</f>
        <v>80</v>
      </c>
      <c r="F15" s="139">
        <f>IF(N12=1,ROUND(1.13*(D15/I12)^0.5,3),E21)</f>
        <v>0.724</v>
      </c>
      <c r="G15" s="140">
        <v>1</v>
      </c>
      <c r="H15" s="54">
        <f>IF(F15&lt;=0.15,1.15,1.05)</f>
        <v>1.05</v>
      </c>
      <c r="I15" s="54">
        <f>IF(F15&lt;=0.15,1.2,1.1)</f>
        <v>1.1</v>
      </c>
      <c r="J15" s="54">
        <f>IF(N12=1,IF(D15&gt;0,ROUND(C11/F15/H15,1)),IF(D15&gt;0,ROUND(C11/G15/H15,1)))</f>
        <v>16.6</v>
      </c>
      <c r="K15" s="54">
        <f>IF(N12=1,ROUND(E15*G15/J15,1),ROUND(E15/J15,1))</f>
        <v>4.8</v>
      </c>
      <c r="L15" s="54">
        <f>IF(N12=1,ROUND(K15*F15*I15,1),ROUND(K15*F15*I15,1))</f>
        <v>3.8</v>
      </c>
      <c r="M15" s="54">
        <f>IF(B15&gt;0,IF(K12=1,ROUND(B15+3.14*(2*L14+L15),1),ROUND(B15+3.14*(2*(L10+L14)+L15),1)),0)</f>
        <v>97.9</v>
      </c>
      <c r="N15" s="147">
        <f>IF(N12=1,IF(D15&gt;0,ROUND(((17.9*M15*E15)/((F15/2)^2*3.14*G15))/1000000,4),0),IF(D15&gt;0,ROUND(((17.9*M15*E15)/(F15*G15))/1000000,4),0))</f>
        <v>0.3407</v>
      </c>
      <c r="O15" s="54">
        <f>ROUND(N15*(0.00393*(234.5+M4+M5)),4)</f>
        <v>0.4345</v>
      </c>
      <c r="P15" s="147">
        <f>IF(N12=1,ROUND(((F15/2)^2*3.14)*G15*M15*E15*8.9*0.001,3),ROUND(F15*G15*M15*E15*8.9*0.001,3))</f>
        <v>28.682</v>
      </c>
      <c r="Q15" s="54">
        <f>ROUND(O15*D15,1)</f>
        <v>0.8</v>
      </c>
      <c r="R15" s="147">
        <f>ROUND(R8*E15/E8-Q15,3)</f>
        <v>7.067</v>
      </c>
      <c r="S15" s="62">
        <f>ROUND(O15*D15*D15,3)</f>
        <v>1.519</v>
      </c>
    </row>
    <row r="16" spans="1:19" ht="15.75">
      <c r="A16" s="82">
        <v>2</v>
      </c>
      <c r="B16" s="48">
        <v>86</v>
      </c>
      <c r="C16" s="48">
        <v>9.6</v>
      </c>
      <c r="D16" s="48">
        <v>1.87</v>
      </c>
      <c r="E16" s="141">
        <f>IF(C16&lt;&gt;"",ROUND(10000*C16/(4.44*I4*I5*G4),0),0)</f>
        <v>80</v>
      </c>
      <c r="F16" s="73">
        <f>IF(N12=1,ROUND(1.13*(D16/I12)^0.5,3),F21)</f>
        <v>0.724</v>
      </c>
      <c r="G16" s="142">
        <v>1</v>
      </c>
      <c r="H16" s="54">
        <f>IF(F16&lt;=0.15,1.15,1.05)</f>
        <v>1.05</v>
      </c>
      <c r="I16" s="54">
        <f>IF(F16&lt;=0.15,1.2,1.1)</f>
        <v>1.1</v>
      </c>
      <c r="J16" s="54">
        <f>IF(N12=1,IF(D16&gt;0,ROUND(C11/F16/H16,1),0),IF(D16&gt;0,ROUND(C11/G16/H16,1),0))</f>
        <v>16.6</v>
      </c>
      <c r="K16" s="54">
        <f>IF(N12=1,IF(D16&gt;0,ROUND(E16*G16/J16,0),0),IF(D16&gt;0,ROUND(E16/J16,0),0))</f>
        <v>5</v>
      </c>
      <c r="L16" s="54">
        <f>ROUND(K16*F16*I16,1)</f>
        <v>4</v>
      </c>
      <c r="M16" s="54">
        <f>IF(B16&gt;0,IF(K12=1,ROUND(B16+3.14*(2*(L14+L15)+L16),1),ROUND(B16+3.14*(2*(L15+L14+L10)+L16),1)),0)</f>
        <v>122.4</v>
      </c>
      <c r="N16" s="148">
        <f>IF(N12=1,IF(D16&gt;0,ROUND(((17.9*M16*E16)/((F16/2)^2*3.14*G16))/1000000,4),0),IF(D16&gt;0,ROUND((17.9*M16*E16)/(F16*G16)/1000000,4),0))</f>
        <v>0.426</v>
      </c>
      <c r="O16" s="54">
        <f>ROUND(N16*(0.00393*(234.5+M4+M5)),4)</f>
        <v>0.5433</v>
      </c>
      <c r="P16" s="148">
        <f>IF(N12=1,ROUND(((F16/2)^2*3.14)*G16*M16*E16*8.9*0.001,3),ROUND(F16*G16*M16*E16*8.9*0.001,3))</f>
        <v>35.86</v>
      </c>
      <c r="Q16" s="54">
        <f>ROUND(O16*D16,1)</f>
        <v>1</v>
      </c>
      <c r="R16" s="148">
        <f>ROUND(R8*E16/E8-Q16,3)</f>
        <v>6.867</v>
      </c>
      <c r="S16" s="62">
        <f>ROUND(O16*D16*D16,3)</f>
        <v>1.9</v>
      </c>
    </row>
    <row r="17" spans="1:19" ht="15.75">
      <c r="A17" s="82">
        <v>3</v>
      </c>
      <c r="B17" s="48"/>
      <c r="C17" s="48"/>
      <c r="D17" s="48"/>
      <c r="E17" s="141">
        <f>IF(C17&lt;&gt;"",ROUND(10000*C17/(4.44*I4*I5*G4),0),0)</f>
        <v>0</v>
      </c>
      <c r="F17" s="73">
        <f>IF(N12=1,ROUND(1.13*(D17/I12)^0.5,3),G21)</f>
        <v>0</v>
      </c>
      <c r="G17" s="142">
        <v>1</v>
      </c>
      <c r="H17" s="54">
        <f>IF(F17&lt;=0.15,1.15,1.05)</f>
        <v>1.15</v>
      </c>
      <c r="I17" s="54">
        <f>IF(F17&lt;=0.15,1.2,1.1)</f>
        <v>1.2</v>
      </c>
      <c r="J17" s="54">
        <f>IF(N12=1,IF(D17&gt;0,ROUND(C11/F17/H17,1),0),IF(D17&gt;0,ROUND(C11/G17/H17,1),0))</f>
        <v>0</v>
      </c>
      <c r="K17" s="54">
        <f>IF(N12=1,IF(D17&gt;0,ROUND(E17*G17/J17,1),0),IF(D17&gt;0,ROUND(E17/J17,1),0))</f>
        <v>0</v>
      </c>
      <c r="L17" s="54">
        <f>ROUND(K17*F17*I17,1)</f>
        <v>0</v>
      </c>
      <c r="M17" s="54">
        <f>IF(B17&gt;0,IF(K12=1,ROUND(B17+3.14*(2*(L14+L16+L15)+L17),1),ROUND(B17+3.14*(2*(L16+L15+L10+L14)+L17),1)),0)</f>
        <v>0</v>
      </c>
      <c r="N17" s="148">
        <f>IF(N12=1,IF(D17&gt;0,ROUND(((17.9*M17*E17)/((F17/2)^2*3.14*G17))/1000000,4),0),IF(D17&gt;0,ROUND(((17.9*M17*E17)/(F17*G17))/1000000,4),0))</f>
        <v>0</v>
      </c>
      <c r="O17" s="54">
        <f>ROUND(N17*(0.00393*(234.5+M4+M5)),4)</f>
        <v>0</v>
      </c>
      <c r="P17" s="148">
        <f>IF(N12=1,ROUND(((F17/2)^2*3.14)*G17*M17*E17*8.9*0.001,3),ROUND(F17*G17*M17*E17*8.9*0.001,3))</f>
        <v>0</v>
      </c>
      <c r="Q17" s="54">
        <f>ROUND(O17*D17,1)</f>
        <v>0</v>
      </c>
      <c r="R17" s="148">
        <f>ROUND(R8*E17/E8-Q17,3)</f>
        <v>0</v>
      </c>
      <c r="S17" s="62">
        <f>ROUND(O17*D17*D17,3)</f>
        <v>0</v>
      </c>
    </row>
    <row r="18" spans="1:19" ht="15.75">
      <c r="A18" s="82">
        <v>4</v>
      </c>
      <c r="B18" s="48"/>
      <c r="C18" s="48"/>
      <c r="D18" s="48"/>
      <c r="E18" s="141">
        <f>IF(C18&lt;&gt;"",ROUND(10000*C18/(4.44*I4*I5*G4),0),0)</f>
        <v>0</v>
      </c>
      <c r="F18" s="73">
        <f>IF(N12=1,ROUND(1.13*(D18/I12)^0.5,3),H21)</f>
        <v>0</v>
      </c>
      <c r="G18" s="142">
        <v>1</v>
      </c>
      <c r="H18" s="54">
        <f>IF(F18&lt;=0.15,1.15,1.05)</f>
        <v>1.15</v>
      </c>
      <c r="I18" s="54">
        <f>IF(F18&lt;=0.15,1.2,1.1)</f>
        <v>1.2</v>
      </c>
      <c r="J18" s="54">
        <f>IF(N12=1,IF(D18&gt;0,ROUND(C11/F18/H18,1),0),IF(D18&gt;0,ROUND(C11/G18/H18,1),0))</f>
        <v>0</v>
      </c>
      <c r="K18" s="54">
        <f>IF(N12=1,IF(D18&gt;0,ROUND(E18*G18/J18,1),0),IF(D18&gt;0,ROUND(E18/J18,1),0))</f>
        <v>0</v>
      </c>
      <c r="L18" s="54">
        <f>ROUND(K18*F18*I18,1)</f>
        <v>0</v>
      </c>
      <c r="M18" s="54">
        <f>IF(B18&gt;0,IF(K12=1,ROUND(B18+3.14*((2*(L17+L16+L15+L14))+L18),1),ROUND(B18+3.14*((2*(L10+L17+L16+L14)+L15)+L18),1)),0)</f>
        <v>0</v>
      </c>
      <c r="N18" s="148">
        <f>IF(N12=1,IF(D18&gt;0,ROUND(((17.9*M18*E18)/((F18/2)^2*3.14*G18))/1000000,4),0),IF(D18&gt;0,ROUND(((17.9*M18*E18)/(F18*G18))/1000000,4),0))</f>
        <v>0</v>
      </c>
      <c r="O18" s="54">
        <f>ROUND(N18*(0.00393*(234.5+M4+M5)),4)</f>
        <v>0</v>
      </c>
      <c r="P18" s="148">
        <f>IF(N12=1,ROUND(((F18/2)^2*3.14)*G18*M18*E18*8.9*0.001,3),ROUND(F18*G18*M18*E18*8.9*0.001,3))</f>
        <v>0</v>
      </c>
      <c r="Q18" s="54">
        <f>ROUND(O18*D18,1)</f>
        <v>0</v>
      </c>
      <c r="R18" s="148">
        <f>ROUND(R8*E18/E8-Q18,3)</f>
        <v>0</v>
      </c>
      <c r="S18" s="62">
        <f>ROUND(O18*D18*D18,3)</f>
        <v>0</v>
      </c>
    </row>
    <row r="19" spans="1:19" ht="15.75">
      <c r="A19" s="82">
        <v>5</v>
      </c>
      <c r="B19" s="48"/>
      <c r="C19" s="48"/>
      <c r="D19" s="48"/>
      <c r="E19" s="143">
        <f>IF(C19&lt;&gt;"",ROUND(10000*C19/(4.44*I4*I5*G4),0),0)</f>
        <v>0</v>
      </c>
      <c r="F19" s="144">
        <f>IF(N12=1,ROUND(1.13*(D19/I12)^0.5,3),I21)</f>
        <v>0</v>
      </c>
      <c r="G19" s="145">
        <v>1</v>
      </c>
      <c r="H19" s="54">
        <f>IF(F19&lt;=0.15,1.15,1.05)</f>
        <v>1.15</v>
      </c>
      <c r="I19" s="54">
        <f>IF(F19&lt;=0.15,1.2,1.1)</f>
        <v>1.2</v>
      </c>
      <c r="J19" s="54">
        <f>IF(N12=1,IF(D19&gt;0,ROUND(C11/F19/H19,1),0),IF(D19&gt;0,ROUND(C11/G19/H19,1),0))</f>
        <v>0</v>
      </c>
      <c r="K19" s="54">
        <f>IF(N12=1,IF(D19&gt;0,ROUND(E19*G19/J19,1),0),IF(D19&gt;0,ROUND(E19/J19,1),0))</f>
        <v>0</v>
      </c>
      <c r="L19" s="54">
        <f>ROUND(K19*F19*I19,1)</f>
        <v>0</v>
      </c>
      <c r="M19" s="54">
        <f>IF(B19&gt;0,IF(K12=1,ROUND(B19+3.14*(2*(L14+L18+L17+L15+L16)+L19),1),ROUND(B19+3.14*(2*(L10+L14+L18+L17+L15+L16)+L19),1)),0)</f>
        <v>0</v>
      </c>
      <c r="N19" s="149">
        <f>IF(N12=1,IF(D19&gt;0,ROUND(((17.9*M19*E19)/((F19/2)^2*3.14*G19))/1000000,4),0),IF(D19&gt;0,ROUND(((17.9*M19*E19)/(F19*G19))/1000000,4),0))</f>
        <v>0</v>
      </c>
      <c r="O19" s="54">
        <f>ROUND(N19*(0.00393*(234.5+M4+M5)),4)</f>
        <v>0</v>
      </c>
      <c r="P19" s="149">
        <f>IF(N12=1,ROUND(((F19/2)^2*3.14)*G19*M19*E19*8.9*0.001,3),ROUND(F19*G19*M19*E19*8.9*0.001,3))</f>
        <v>0</v>
      </c>
      <c r="Q19" s="54">
        <f>ROUND(O19*D19,1)</f>
        <v>0</v>
      </c>
      <c r="R19" s="149">
        <f>ROUND(R8*E19/E8-Q19,3)</f>
        <v>0</v>
      </c>
      <c r="S19" s="62">
        <f>ROUND(O19*D19*D19,3)</f>
        <v>0</v>
      </c>
    </row>
    <row r="20" spans="1:19" ht="16.5" thickBot="1">
      <c r="A20" s="83" t="s">
        <v>89</v>
      </c>
      <c r="B20" s="260" t="b">
        <f>IF(N12&lt;&gt;1,"设定铜箔/扁铜厚度:")</f>
        <v>0</v>
      </c>
      <c r="C20" s="201"/>
      <c r="D20" s="261"/>
      <c r="E20" s="137" t="s">
        <v>79</v>
      </c>
      <c r="F20" s="137" t="s">
        <v>80</v>
      </c>
      <c r="G20" s="137" t="s">
        <v>81</v>
      </c>
      <c r="H20" s="84" t="s">
        <v>82</v>
      </c>
      <c r="I20" s="84" t="s">
        <v>83</v>
      </c>
      <c r="J20" s="100">
        <v>0.08</v>
      </c>
      <c r="K20" s="100">
        <v>2</v>
      </c>
      <c r="L20" s="85">
        <f>J20*K20</f>
        <v>0.16</v>
      </c>
      <c r="M20" s="72" t="s">
        <v>396</v>
      </c>
      <c r="N20" s="54">
        <f>ROUND((1.256*E8^2*S20)/(P20*10^2),4)*10</f>
        <v>4991.846</v>
      </c>
      <c r="O20" s="72" t="s">
        <v>397</v>
      </c>
      <c r="P20" s="105">
        <v>80</v>
      </c>
      <c r="Q20" s="72" t="s">
        <v>398</v>
      </c>
      <c r="R20" s="189" t="s">
        <v>180</v>
      </c>
      <c r="S20" s="190">
        <f>G4</f>
        <v>3.45</v>
      </c>
    </row>
    <row r="21" spans="1:19" ht="16.5" thickBot="1">
      <c r="A21" s="248" t="str">
        <f>IF(M21&lt;E4,"恭喜你!设计通过:"&amp;M21&amp;"mm!","抱歉!绕组超尺寸:"&amp;ROUND(M21-E4,2)&amp;"mm !")</f>
        <v>抱歉!绕组超尺寸:1.56mm !</v>
      </c>
      <c r="B21" s="247"/>
      <c r="C21" s="247"/>
      <c r="D21" s="249"/>
      <c r="E21" s="124">
        <v>0.2</v>
      </c>
      <c r="F21" s="124"/>
      <c r="G21" s="124"/>
      <c r="H21" s="124"/>
      <c r="I21" s="124"/>
      <c r="J21" s="54"/>
      <c r="K21" s="54" t="s">
        <v>31</v>
      </c>
      <c r="L21" s="54">
        <f>IF(K12=1,L15+L16+L17+L18+L19+L20,L15+L16+L17+L18+L19+L20+L11)</f>
        <v>7.96</v>
      </c>
      <c r="M21" s="54">
        <f>IF(K12=1,L21,L21)</f>
        <v>7.96</v>
      </c>
      <c r="N21" s="54"/>
      <c r="O21" s="54" t="s">
        <v>32</v>
      </c>
      <c r="P21" s="54">
        <f>SUM(P15:P19)</f>
        <v>64.542</v>
      </c>
      <c r="Q21" s="54"/>
      <c r="R21" s="54" t="s">
        <v>33</v>
      </c>
      <c r="S21" s="62">
        <f>SUM(S15:S19)</f>
        <v>3.4189999999999996</v>
      </c>
    </row>
    <row r="22" spans="1:19" ht="16.5" thickBot="1">
      <c r="A22" s="88" t="s">
        <v>102</v>
      </c>
      <c r="B22" s="245" t="s">
        <v>399</v>
      </c>
      <c r="C22" s="245"/>
      <c r="D22" s="89" t="str">
        <f>IF(B22&lt;&gt;"",ROUND(O5*3*P5*0.007,1)&amp;"g","无")</f>
        <v>7.4g</v>
      </c>
      <c r="E22" s="128" t="s">
        <v>101</v>
      </c>
      <c r="F22" s="256"/>
      <c r="G22" s="257"/>
      <c r="H22" s="129" t="str">
        <f>IF(F22&lt;&gt;"",ROUND(O5*3*P5*O5*2.5*0.00123,1)&amp;"g","无")</f>
        <v>无</v>
      </c>
      <c r="I22" s="246" t="s">
        <v>262</v>
      </c>
      <c r="J22" s="247"/>
      <c r="K22" s="247"/>
      <c r="L22" s="247"/>
      <c r="M22" s="274" t="s">
        <v>263</v>
      </c>
      <c r="N22" s="274"/>
      <c r="O22" s="274"/>
      <c r="P22" s="277" t="str">
        <f>Q5</f>
        <v>51.3W</v>
      </c>
      <c r="Q22" s="277"/>
      <c r="R22" s="154"/>
      <c r="S22" s="126"/>
    </row>
    <row r="23" spans="1:19" ht="16.5" thickBot="1">
      <c r="A23" s="202" t="s">
        <v>141</v>
      </c>
      <c r="B23" s="203"/>
      <c r="C23" s="203"/>
      <c r="D23" s="203"/>
      <c r="E23" s="203"/>
      <c r="F23" s="203"/>
      <c r="G23" s="203"/>
      <c r="H23" s="196"/>
      <c r="I23" s="125"/>
      <c r="J23" s="200">
        <f>ROUND((J25/(2.22*I4*I5*G5*0.01*0.35)),1)</f>
        <v>4.4</v>
      </c>
      <c r="K23" s="201"/>
      <c r="L23" s="201"/>
      <c r="M23" s="113" t="s">
        <v>208</v>
      </c>
      <c r="N23" s="113" t="str">
        <f>I3&amp;P25*3</f>
        <v>EI66</v>
      </c>
      <c r="O23" s="199"/>
      <c r="P23" s="199"/>
      <c r="Q23" s="86"/>
      <c r="R23" s="86"/>
      <c r="S23" s="87"/>
    </row>
    <row r="24" spans="1:19" ht="15.75">
      <c r="A24" s="90" t="s">
        <v>142</v>
      </c>
      <c r="B24" s="91" t="s">
        <v>147</v>
      </c>
      <c r="C24" s="91" t="s">
        <v>42</v>
      </c>
      <c r="D24" s="91" t="s">
        <v>143</v>
      </c>
      <c r="E24" s="91" t="s">
        <v>148</v>
      </c>
      <c r="F24" s="91" t="s">
        <v>144</v>
      </c>
      <c r="G24" s="91" t="s">
        <v>145</v>
      </c>
      <c r="H24" s="91" t="s">
        <v>146</v>
      </c>
      <c r="I24" s="120" t="s">
        <v>158</v>
      </c>
      <c r="J24" s="118" t="s">
        <v>179</v>
      </c>
      <c r="K24" s="114" t="s">
        <v>180</v>
      </c>
      <c r="L24" s="115" t="s">
        <v>181</v>
      </c>
      <c r="M24" s="115" t="s">
        <v>182</v>
      </c>
      <c r="N24" s="115" t="s">
        <v>183</v>
      </c>
      <c r="O24" s="116" t="s">
        <v>184</v>
      </c>
      <c r="P24" s="115" t="s">
        <v>185</v>
      </c>
      <c r="Q24" s="115" t="s">
        <v>186</v>
      </c>
      <c r="R24" s="115" t="s">
        <v>187</v>
      </c>
      <c r="S24" s="127" t="s">
        <v>188</v>
      </c>
    </row>
    <row r="25" spans="1:19" ht="16.5" thickBot="1">
      <c r="A25" s="197" t="s">
        <v>444</v>
      </c>
      <c r="B25" s="238"/>
      <c r="C25" s="102">
        <v>0.139</v>
      </c>
      <c r="D25" s="102">
        <v>55</v>
      </c>
      <c r="E25" s="102"/>
      <c r="F25" s="92">
        <f>K10</f>
        <v>1</v>
      </c>
      <c r="G25" s="93">
        <f>F25*M15*1.45</f>
        <v>141.955</v>
      </c>
      <c r="H25" s="91"/>
      <c r="I25" s="121"/>
      <c r="J25" s="54">
        <f>ROUND(R15*D15+R16*D16+R17*D17+R29*D18+D19*R19,1)</f>
        <v>26.1</v>
      </c>
      <c r="K25" s="54">
        <f>ROUND(SQRT(J25),1)</f>
        <v>5.1</v>
      </c>
      <c r="L25" s="54">
        <f>ROUND(J23/K25,1)</f>
        <v>0.9</v>
      </c>
      <c r="M25" s="105">
        <v>1.057</v>
      </c>
      <c r="N25" s="105">
        <v>3</v>
      </c>
      <c r="O25" s="78">
        <f>ROUND(R25/P25,2)</f>
        <v>0.23</v>
      </c>
      <c r="P25" s="54">
        <f>ROUND(SQRT(K25/M25),1)*10</f>
        <v>22</v>
      </c>
      <c r="Q25" s="54">
        <f>P25*M25</f>
        <v>23.253999999999998</v>
      </c>
      <c r="R25" s="54">
        <f>ROUND(SQRT(L25/N25),1)*10</f>
        <v>5</v>
      </c>
      <c r="S25" s="62">
        <f>N25*R25</f>
        <v>15</v>
      </c>
    </row>
    <row r="26" spans="1:19" ht="15.75">
      <c r="A26" s="197" t="s">
        <v>427</v>
      </c>
      <c r="B26" s="238"/>
      <c r="C26" s="102"/>
      <c r="D26" s="102"/>
      <c r="E26" s="103"/>
      <c r="F26" s="92">
        <f>K20</f>
        <v>2</v>
      </c>
      <c r="G26" s="93">
        <f>F26*M15*1.45</f>
        <v>283.91</v>
      </c>
      <c r="H26" s="91"/>
      <c r="I26" s="121"/>
      <c r="J26" s="119" t="s">
        <v>142</v>
      </c>
      <c r="K26" s="117" t="s">
        <v>147</v>
      </c>
      <c r="L26" s="117" t="s">
        <v>0</v>
      </c>
      <c r="M26" s="117" t="s">
        <v>1</v>
      </c>
      <c r="N26" s="117" t="s">
        <v>148</v>
      </c>
      <c r="O26" s="117" t="s">
        <v>145</v>
      </c>
      <c r="P26" s="117" t="s">
        <v>321</v>
      </c>
      <c r="Q26" s="117" t="s">
        <v>322</v>
      </c>
      <c r="R26" s="207" t="s">
        <v>323</v>
      </c>
      <c r="S26" s="208"/>
    </row>
    <row r="27" spans="1:19" ht="15.75">
      <c r="A27" s="198" t="s">
        <v>149</v>
      </c>
      <c r="B27" s="238"/>
      <c r="C27" s="102"/>
      <c r="D27" s="102"/>
      <c r="E27" s="104"/>
      <c r="F27" s="103"/>
      <c r="G27" s="103"/>
      <c r="H27" s="95">
        <f>ROUND(C27*D27*F27*G27*I27*0.001,3)</f>
        <v>0</v>
      </c>
      <c r="I27" s="122"/>
      <c r="J27" s="209">
        <v>1</v>
      </c>
      <c r="K27" s="210"/>
      <c r="L27" s="103"/>
      <c r="M27" s="102"/>
      <c r="N27" s="102"/>
      <c r="O27" s="102"/>
      <c r="P27" s="103"/>
      <c r="Q27" s="102" t="s">
        <v>430</v>
      </c>
      <c r="R27" s="204"/>
      <c r="S27" s="213"/>
    </row>
    <row r="28" spans="1:19" ht="15.75">
      <c r="A28" s="211" t="s">
        <v>150</v>
      </c>
      <c r="B28" s="238"/>
      <c r="C28" s="102">
        <v>0.18</v>
      </c>
      <c r="D28" s="102">
        <v>55</v>
      </c>
      <c r="E28" s="102"/>
      <c r="F28" s="103">
        <v>1</v>
      </c>
      <c r="G28" s="103">
        <v>1000</v>
      </c>
      <c r="H28" s="95">
        <f>ROUND(C28*D28*F28*G28*I28*0.001,3)</f>
        <v>11.385</v>
      </c>
      <c r="I28" s="122">
        <v>1.15</v>
      </c>
      <c r="J28" s="209"/>
      <c r="K28" s="210"/>
      <c r="L28" s="103"/>
      <c r="M28" s="103"/>
      <c r="N28" s="103"/>
      <c r="O28" s="103"/>
      <c r="P28" s="103"/>
      <c r="Q28" s="103"/>
      <c r="R28" s="212" t="s">
        <v>324</v>
      </c>
      <c r="S28" s="213"/>
    </row>
    <row r="29" spans="1:19" ht="15.75">
      <c r="A29" s="211" t="s">
        <v>151</v>
      </c>
      <c r="B29" s="238"/>
      <c r="C29" s="102"/>
      <c r="D29" s="102"/>
      <c r="E29" s="102"/>
      <c r="F29" s="103"/>
      <c r="G29" s="103"/>
      <c r="H29" s="95">
        <f>ROUND(C29*D29*F29*G29*I29*0.001,3)</f>
        <v>0</v>
      </c>
      <c r="I29" s="122"/>
      <c r="J29" s="209"/>
      <c r="K29" s="210"/>
      <c r="L29" s="103"/>
      <c r="M29" s="103"/>
      <c r="N29" s="102"/>
      <c r="O29" s="102"/>
      <c r="P29" s="102"/>
      <c r="Q29" s="103"/>
      <c r="R29" s="212"/>
      <c r="S29" s="213"/>
    </row>
    <row r="30" spans="1:19" ht="15.75">
      <c r="A30" s="237" t="s">
        <v>152</v>
      </c>
      <c r="B30" s="238"/>
      <c r="C30" s="102"/>
      <c r="D30" s="102"/>
      <c r="E30" s="102"/>
      <c r="F30" s="103"/>
      <c r="G30" s="103"/>
      <c r="H30" s="95">
        <f>ROUND(C30*D30*F30*G30*I30*0.001,3)</f>
        <v>0</v>
      </c>
      <c r="I30" s="122"/>
      <c r="J30" s="209"/>
      <c r="K30" s="210"/>
      <c r="L30" s="103"/>
      <c r="M30" s="103"/>
      <c r="N30" s="103"/>
      <c r="O30" s="103"/>
      <c r="P30" s="103"/>
      <c r="Q30" s="103"/>
      <c r="R30" s="212"/>
      <c r="S30" s="213"/>
    </row>
    <row r="31" spans="1:19" ht="15.75">
      <c r="A31" s="237" t="s">
        <v>153</v>
      </c>
      <c r="B31" s="238"/>
      <c r="C31" s="102"/>
      <c r="D31" s="102"/>
      <c r="E31" s="102"/>
      <c r="F31" s="103"/>
      <c r="G31" s="103"/>
      <c r="H31" s="95">
        <f>ROUND(C31*D31*F31*G31*I31*0.001,3)</f>
        <v>0</v>
      </c>
      <c r="I31" s="122">
        <v>1.15</v>
      </c>
      <c r="J31" s="191"/>
      <c r="K31" s="191"/>
      <c r="L31" s="103"/>
      <c r="M31" s="103"/>
      <c r="N31" s="103"/>
      <c r="O31" s="103"/>
      <c r="P31" s="103"/>
      <c r="Q31" s="103"/>
      <c r="R31" s="212"/>
      <c r="S31" s="213"/>
    </row>
    <row r="32" spans="1:19" ht="15.75">
      <c r="A32" s="237" t="s">
        <v>154</v>
      </c>
      <c r="B32" s="238"/>
      <c r="C32" s="239" t="s">
        <v>156</v>
      </c>
      <c r="D32" s="240"/>
      <c r="E32" s="240"/>
      <c r="F32" s="241"/>
      <c r="G32" s="94">
        <v>3</v>
      </c>
      <c r="H32" s="95">
        <f>ROUND(0.125*G32,3)</f>
        <v>0.375</v>
      </c>
      <c r="I32" s="122"/>
      <c r="J32" s="209" t="s">
        <v>405</v>
      </c>
      <c r="K32" s="210"/>
      <c r="L32" s="278" t="s">
        <v>404</v>
      </c>
      <c r="M32" s="210"/>
      <c r="N32" s="103" t="s">
        <v>406</v>
      </c>
      <c r="O32" s="103" t="s">
        <v>407</v>
      </c>
      <c r="P32" s="103" t="s">
        <v>408</v>
      </c>
      <c r="Q32" s="103"/>
      <c r="R32" s="204" t="s">
        <v>125</v>
      </c>
      <c r="S32" s="213"/>
    </row>
    <row r="33" spans="1:19" ht="16.5" thickBot="1">
      <c r="A33" s="232"/>
      <c r="B33" s="233"/>
      <c r="C33" s="242" t="s">
        <v>161</v>
      </c>
      <c r="D33" s="243"/>
      <c r="E33" s="243"/>
      <c r="F33" s="244"/>
      <c r="G33" s="96">
        <v>3</v>
      </c>
      <c r="H33" s="97">
        <f>ROUND(0.1*G33,3)</f>
        <v>0.3</v>
      </c>
      <c r="I33" s="123"/>
      <c r="J33" s="230"/>
      <c r="K33" s="231"/>
      <c r="L33" s="279"/>
      <c r="M33" s="231"/>
      <c r="N33" s="195"/>
      <c r="O33" s="195" t="s">
        <v>428</v>
      </c>
      <c r="P33" s="195" t="s">
        <v>429</v>
      </c>
      <c r="Q33" s="130"/>
      <c r="R33" s="205"/>
      <c r="S33" s="206"/>
    </row>
    <row r="34" spans="1:19" ht="15" thickBot="1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</row>
    <row r="35" spans="1:19" ht="14.25">
      <c r="A35" s="236">
        <f>A3</f>
        <v>0</v>
      </c>
      <c r="B35" s="214"/>
      <c r="C35" s="214">
        <f>D3</f>
        <v>0</v>
      </c>
      <c r="D35" s="214"/>
      <c r="E35" s="156"/>
      <c r="F35" s="215" t="str">
        <f>I3&amp;J3</f>
        <v>EI66</v>
      </c>
      <c r="G35" s="215"/>
      <c r="H35" s="156"/>
      <c r="I35" s="156" t="s">
        <v>375</v>
      </c>
      <c r="J35" s="156"/>
      <c r="K35" s="156"/>
      <c r="L35" s="156"/>
      <c r="M35" s="156"/>
      <c r="N35" s="156"/>
      <c r="O35" s="156"/>
      <c r="P35" s="156"/>
      <c r="Q35" s="214">
        <f>G3</f>
        <v>0</v>
      </c>
      <c r="R35" s="214"/>
      <c r="S35" s="157"/>
    </row>
    <row r="36" spans="1:19" ht="15.75">
      <c r="A36" s="234" t="s">
        <v>328</v>
      </c>
      <c r="B36" s="229" t="s">
        <v>363</v>
      </c>
      <c r="C36" s="223"/>
      <c r="D36" s="229" t="s">
        <v>331</v>
      </c>
      <c r="E36" s="223"/>
      <c r="F36" s="160" t="s">
        <v>332</v>
      </c>
      <c r="G36" s="160" t="s">
        <v>334</v>
      </c>
      <c r="H36" s="160" t="s">
        <v>365</v>
      </c>
      <c r="I36" s="163">
        <v>10</v>
      </c>
      <c r="J36" s="175" t="s">
        <v>367</v>
      </c>
      <c r="K36" s="217">
        <v>10000</v>
      </c>
      <c r="L36" s="218"/>
      <c r="M36" s="182" t="s">
        <v>369</v>
      </c>
      <c r="N36" s="219">
        <f>K36*F64</f>
        <v>4336000</v>
      </c>
      <c r="O36" s="220"/>
      <c r="P36" s="222" t="s">
        <v>374</v>
      </c>
      <c r="Q36" s="223"/>
      <c r="R36" s="165">
        <v>5</v>
      </c>
      <c r="S36" s="158"/>
    </row>
    <row r="37" spans="1:19" ht="15.75">
      <c r="A37" s="235"/>
      <c r="B37" s="160" t="s">
        <v>329</v>
      </c>
      <c r="C37" s="160" t="s">
        <v>330</v>
      </c>
      <c r="D37" s="161" t="s">
        <v>359</v>
      </c>
      <c r="E37" s="161" t="s">
        <v>360</v>
      </c>
      <c r="F37" s="161" t="s">
        <v>333</v>
      </c>
      <c r="G37" s="161" t="s">
        <v>335</v>
      </c>
      <c r="H37" s="159" t="s">
        <v>364</v>
      </c>
      <c r="I37" s="166" t="s">
        <v>366</v>
      </c>
      <c r="J37" s="176" t="s">
        <v>368</v>
      </c>
      <c r="K37" s="181">
        <v>2</v>
      </c>
      <c r="L37" s="177" t="s">
        <v>370</v>
      </c>
      <c r="M37" s="178">
        <f>ROUND(N36/(TI*K37*3600),0)</f>
        <v>60</v>
      </c>
      <c r="N37" s="178" t="s">
        <v>372</v>
      </c>
      <c r="O37" s="221" t="str">
        <f>ROUND(M37*TI*3600/F64,0)&amp;"pcs"</f>
        <v>4982pcs</v>
      </c>
      <c r="P37" s="220"/>
      <c r="Q37" s="226" t="s">
        <v>373</v>
      </c>
      <c r="R37" s="227"/>
      <c r="S37" s="158"/>
    </row>
    <row r="38" spans="1:19" ht="15.75">
      <c r="A38" s="172" t="s">
        <v>376</v>
      </c>
      <c r="B38" s="163"/>
      <c r="C38" s="163">
        <v>1500</v>
      </c>
      <c r="D38" s="162" t="s">
        <v>402</v>
      </c>
      <c r="E38" s="163">
        <v>2000</v>
      </c>
      <c r="F38" s="164">
        <v>0.05</v>
      </c>
      <c r="G38" s="180">
        <f>IF(B38&lt;&gt;"",ROUND((E38/B38)*60*(1+F38),1),IF(C38&lt;&gt;"",ROUND((E38/C38)*60*(1+F38),1)))</f>
        <v>84</v>
      </c>
      <c r="H38" s="163">
        <f>ROUND(CB/(TI*3600/G38),0)</f>
        <v>12</v>
      </c>
      <c r="I38" s="179">
        <f>ROUND(M37*TI*3600/F64,0)</f>
        <v>4982</v>
      </c>
      <c r="J38" s="155"/>
      <c r="K38" s="155"/>
      <c r="L38" s="155"/>
      <c r="M38" s="155"/>
      <c r="N38" s="155"/>
      <c r="O38" s="155"/>
      <c r="P38" s="155"/>
      <c r="Q38" s="224" t="str">
        <f>"¥"&amp;ROUND(FY/3600*G38,4)</f>
        <v>¥0.1167</v>
      </c>
      <c r="R38" s="225"/>
      <c r="S38" s="158"/>
    </row>
    <row r="39" spans="1:19" ht="15.75">
      <c r="A39" s="172" t="s">
        <v>336</v>
      </c>
      <c r="B39" s="163"/>
      <c r="C39" s="163">
        <v>60</v>
      </c>
      <c r="D39" s="163">
        <v>0.8</v>
      </c>
      <c r="E39" s="163">
        <v>80</v>
      </c>
      <c r="F39" s="164">
        <v>0.05</v>
      </c>
      <c r="G39" s="179">
        <f>IF(B39&lt;&gt;"",ROUND((E39/B39)*60*(1+F39),1),IF(C39&lt;&gt;"",ROUND((E39/C39)*60*(1+F39),1)))</f>
        <v>84</v>
      </c>
      <c r="H39" s="175">
        <f aca="true" t="shared" si="0" ref="H39:H44">IF(G39&lt;&gt;0,ROUND(RB/(TB/G39),2),0)</f>
        <v>12</v>
      </c>
      <c r="I39" s="179">
        <f>IF(G39&lt;&gt;0,ROUND(TI*3600/G39*H39,0),0)</f>
        <v>5143</v>
      </c>
      <c r="J39" s="155"/>
      <c r="K39" s="155"/>
      <c r="L39" s="155"/>
      <c r="M39" s="155"/>
      <c r="N39" s="155"/>
      <c r="O39" s="155"/>
      <c r="P39" s="155"/>
      <c r="Q39" s="224" t="str">
        <f aca="true" t="shared" si="1" ref="Q39:Q63">"¥"&amp;ROUND(FY/3600*G39,4)</f>
        <v>¥0.1167</v>
      </c>
      <c r="R39" s="225"/>
      <c r="S39" s="158"/>
    </row>
    <row r="40" spans="1:19" ht="15.75">
      <c r="A40" s="172" t="s">
        <v>337</v>
      </c>
      <c r="B40" s="163"/>
      <c r="C40" s="163">
        <v>1000</v>
      </c>
      <c r="D40" s="163"/>
      <c r="E40" s="163"/>
      <c r="F40" s="164">
        <v>0.05</v>
      </c>
      <c r="G40" s="179">
        <f aca="true" t="shared" si="2" ref="G40:G63">IF(B40&lt;&gt;"",ROUND((E40/B40)*60*(1+F40),1),IF(C40&lt;&gt;"",ROUND((E40/C40)*60*(1+F40),1)))</f>
        <v>0</v>
      </c>
      <c r="H40" s="175">
        <f t="shared" si="0"/>
        <v>0</v>
      </c>
      <c r="I40" s="179">
        <f>IF(G40&lt;&gt;0,ROUND(TI*3600/G40*H40,0),0)</f>
        <v>0</v>
      </c>
      <c r="J40" s="155"/>
      <c r="K40" s="155"/>
      <c r="L40" s="155"/>
      <c r="M40" s="155"/>
      <c r="N40" s="155"/>
      <c r="O40" s="155"/>
      <c r="P40" s="155"/>
      <c r="Q40" s="224" t="str">
        <f t="shared" si="1"/>
        <v>¥0</v>
      </c>
      <c r="R40" s="225"/>
      <c r="S40" s="158"/>
    </row>
    <row r="41" spans="1:19" ht="15.75">
      <c r="A41" s="172" t="s">
        <v>355</v>
      </c>
      <c r="B41" s="163"/>
      <c r="C41" s="163">
        <v>1000</v>
      </c>
      <c r="D41" s="163"/>
      <c r="E41" s="163"/>
      <c r="F41" s="164">
        <v>0.05</v>
      </c>
      <c r="G41" s="179">
        <f t="shared" si="2"/>
        <v>0</v>
      </c>
      <c r="H41" s="175">
        <f t="shared" si="0"/>
        <v>0</v>
      </c>
      <c r="I41" s="179">
        <f>IF(G41&lt;&gt;0,ROUND(TI*3600/G41*H41,0),0)</f>
        <v>0</v>
      </c>
      <c r="J41" s="155"/>
      <c r="K41" s="155"/>
      <c r="L41" s="155"/>
      <c r="M41" s="155"/>
      <c r="N41" s="155"/>
      <c r="O41" s="155"/>
      <c r="P41" s="155"/>
      <c r="Q41" s="224" t="str">
        <f t="shared" si="1"/>
        <v>¥0</v>
      </c>
      <c r="R41" s="225"/>
      <c r="S41" s="158"/>
    </row>
    <row r="42" spans="1:19" ht="15.75">
      <c r="A42" s="172" t="s">
        <v>356</v>
      </c>
      <c r="B42" s="163">
        <v>1500</v>
      </c>
      <c r="C42" s="163">
        <v>3500</v>
      </c>
      <c r="D42" s="163"/>
      <c r="E42" s="163"/>
      <c r="F42" s="164">
        <v>0.05</v>
      </c>
      <c r="G42" s="179">
        <f t="shared" si="2"/>
        <v>0</v>
      </c>
      <c r="H42" s="175">
        <f t="shared" si="0"/>
        <v>0</v>
      </c>
      <c r="I42" s="179">
        <f aca="true" t="shared" si="3" ref="I42:I63">IF(G42&lt;&gt;0,ROUND(TI*3600/G42*H42,0),0)</f>
        <v>0</v>
      </c>
      <c r="J42" s="155"/>
      <c r="K42" s="155"/>
      <c r="L42" s="155"/>
      <c r="M42" s="155"/>
      <c r="N42" s="155"/>
      <c r="O42" s="155"/>
      <c r="P42" s="155"/>
      <c r="Q42" s="224" t="str">
        <f t="shared" si="1"/>
        <v>¥0</v>
      </c>
      <c r="R42" s="225"/>
      <c r="S42" s="158"/>
    </row>
    <row r="43" spans="1:19" ht="15.75">
      <c r="A43" s="172" t="s">
        <v>357</v>
      </c>
      <c r="B43" s="163">
        <v>50</v>
      </c>
      <c r="C43" s="163">
        <v>3500</v>
      </c>
      <c r="D43" s="163"/>
      <c r="E43" s="163"/>
      <c r="F43" s="164">
        <v>0.05</v>
      </c>
      <c r="G43" s="179">
        <f t="shared" si="2"/>
        <v>0</v>
      </c>
      <c r="H43" s="175">
        <f t="shared" si="0"/>
        <v>0</v>
      </c>
      <c r="I43" s="179">
        <f t="shared" si="3"/>
        <v>0</v>
      </c>
      <c r="J43" s="155"/>
      <c r="K43" s="155"/>
      <c r="L43" s="155"/>
      <c r="M43" s="155"/>
      <c r="N43" s="155"/>
      <c r="O43" s="155"/>
      <c r="P43" s="155"/>
      <c r="Q43" s="224" t="str">
        <f t="shared" si="1"/>
        <v>¥0</v>
      </c>
      <c r="R43" s="225"/>
      <c r="S43" s="158"/>
    </row>
    <row r="44" spans="1:19" ht="15.75">
      <c r="A44" s="172" t="s">
        <v>358</v>
      </c>
      <c r="B44" s="163">
        <v>100</v>
      </c>
      <c r="C44" s="163">
        <v>3500</v>
      </c>
      <c r="D44" s="163"/>
      <c r="E44" s="163"/>
      <c r="F44" s="164">
        <v>0.05</v>
      </c>
      <c r="G44" s="179">
        <f t="shared" si="2"/>
        <v>0</v>
      </c>
      <c r="H44" s="175">
        <f t="shared" si="0"/>
        <v>0</v>
      </c>
      <c r="I44" s="179">
        <f t="shared" si="3"/>
        <v>0</v>
      </c>
      <c r="J44" s="155"/>
      <c r="K44" s="155"/>
      <c r="L44" s="155"/>
      <c r="M44" s="155"/>
      <c r="N44" s="155"/>
      <c r="O44" s="155"/>
      <c r="P44" s="155"/>
      <c r="Q44" s="224" t="str">
        <f t="shared" si="1"/>
        <v>¥0</v>
      </c>
      <c r="R44" s="225"/>
      <c r="S44" s="158"/>
    </row>
    <row r="45" spans="1:19" ht="15.75">
      <c r="A45" s="173" t="s">
        <v>362</v>
      </c>
      <c r="B45" s="163">
        <v>50</v>
      </c>
      <c r="C45" s="163"/>
      <c r="D45" s="162" t="s">
        <v>361</v>
      </c>
      <c r="E45" s="163">
        <v>1</v>
      </c>
      <c r="F45" s="164">
        <v>0.05</v>
      </c>
      <c r="G45" s="179">
        <f t="shared" si="2"/>
        <v>1.3</v>
      </c>
      <c r="H45" s="175">
        <f>IF(G45&lt;&gt;0,ROUND(RB/(TB/G45),2),0)</f>
        <v>0.19</v>
      </c>
      <c r="I45" s="179">
        <f t="shared" si="3"/>
        <v>5262</v>
      </c>
      <c r="J45" s="155"/>
      <c r="K45" s="155"/>
      <c r="L45" s="155"/>
      <c r="M45" s="155"/>
      <c r="N45" s="155"/>
      <c r="O45" s="155"/>
      <c r="P45" s="155"/>
      <c r="Q45" s="224" t="str">
        <f t="shared" si="1"/>
        <v>¥0.0018</v>
      </c>
      <c r="R45" s="225"/>
      <c r="S45" s="158"/>
    </row>
    <row r="46" spans="1:19" ht="14.25">
      <c r="A46" s="173" t="s">
        <v>338</v>
      </c>
      <c r="B46" s="163">
        <v>50</v>
      </c>
      <c r="C46" s="163"/>
      <c r="D46" s="163"/>
      <c r="E46" s="163">
        <v>8</v>
      </c>
      <c r="F46" s="164">
        <v>0.05</v>
      </c>
      <c r="G46" s="179">
        <f t="shared" si="2"/>
        <v>10.1</v>
      </c>
      <c r="H46" s="175">
        <f aca="true" t="shared" si="4" ref="H46:H63">IF(G46&lt;&gt;0,ROUND(RB/(TB/G46),2),0)</f>
        <v>1.44</v>
      </c>
      <c r="I46" s="179">
        <f t="shared" si="3"/>
        <v>5133</v>
      </c>
      <c r="J46" s="155"/>
      <c r="K46" s="155"/>
      <c r="L46" s="155"/>
      <c r="M46" s="155"/>
      <c r="N46" s="155"/>
      <c r="O46" s="155"/>
      <c r="P46" s="155"/>
      <c r="Q46" s="224" t="str">
        <f t="shared" si="1"/>
        <v>¥0.014</v>
      </c>
      <c r="R46" s="225"/>
      <c r="S46" s="158"/>
    </row>
    <row r="47" spans="1:19" ht="14.25">
      <c r="A47" s="173" t="s">
        <v>339</v>
      </c>
      <c r="B47" s="163">
        <v>5</v>
      </c>
      <c r="C47" s="163"/>
      <c r="D47" s="163"/>
      <c r="E47" s="163"/>
      <c r="F47" s="164">
        <v>0.05</v>
      </c>
      <c r="G47" s="179">
        <f t="shared" si="2"/>
        <v>0</v>
      </c>
      <c r="H47" s="175">
        <f t="shared" si="4"/>
        <v>0</v>
      </c>
      <c r="I47" s="179">
        <f t="shared" si="3"/>
        <v>0</v>
      </c>
      <c r="J47" s="155"/>
      <c r="K47" s="155"/>
      <c r="L47" s="155"/>
      <c r="M47" s="155"/>
      <c r="N47" s="155"/>
      <c r="O47" s="155"/>
      <c r="P47" s="155"/>
      <c r="Q47" s="224" t="str">
        <f t="shared" si="1"/>
        <v>¥0</v>
      </c>
      <c r="R47" s="225"/>
      <c r="S47" s="158"/>
    </row>
    <row r="48" spans="1:19" ht="14.25">
      <c r="A48" s="173" t="s">
        <v>340</v>
      </c>
      <c r="B48" s="163">
        <v>5</v>
      </c>
      <c r="C48" s="163"/>
      <c r="D48" s="163"/>
      <c r="E48" s="163"/>
      <c r="F48" s="164">
        <v>0.05</v>
      </c>
      <c r="G48" s="179">
        <f t="shared" si="2"/>
        <v>0</v>
      </c>
      <c r="H48" s="175">
        <f t="shared" si="4"/>
        <v>0</v>
      </c>
      <c r="I48" s="179">
        <f t="shared" si="3"/>
        <v>0</v>
      </c>
      <c r="J48" s="155"/>
      <c r="K48" s="155"/>
      <c r="L48" s="155"/>
      <c r="M48" s="155"/>
      <c r="N48" s="155"/>
      <c r="O48" s="155"/>
      <c r="P48" s="155"/>
      <c r="Q48" s="224" t="str">
        <f t="shared" si="1"/>
        <v>¥0</v>
      </c>
      <c r="R48" s="225"/>
      <c r="S48" s="158"/>
    </row>
    <row r="49" spans="1:19" ht="14.25">
      <c r="A49" s="173" t="s">
        <v>341</v>
      </c>
      <c r="B49" s="163">
        <v>5</v>
      </c>
      <c r="C49" s="163"/>
      <c r="D49" s="163"/>
      <c r="E49" s="163">
        <v>2</v>
      </c>
      <c r="F49" s="164">
        <v>0.05</v>
      </c>
      <c r="G49" s="179">
        <f t="shared" si="2"/>
        <v>25.2</v>
      </c>
      <c r="H49" s="175">
        <f t="shared" si="4"/>
        <v>3.6</v>
      </c>
      <c r="I49" s="179">
        <f t="shared" si="3"/>
        <v>5143</v>
      </c>
      <c r="J49" s="155"/>
      <c r="K49" s="155"/>
      <c r="L49" s="155"/>
      <c r="M49" s="155"/>
      <c r="N49" s="155"/>
      <c r="O49" s="155"/>
      <c r="P49" s="155"/>
      <c r="Q49" s="224" t="str">
        <f t="shared" si="1"/>
        <v>¥0.035</v>
      </c>
      <c r="R49" s="225"/>
      <c r="S49" s="158"/>
    </row>
    <row r="50" spans="1:19" ht="14.25">
      <c r="A50" s="173" t="s">
        <v>342</v>
      </c>
      <c r="B50" s="163">
        <v>15</v>
      </c>
      <c r="C50" s="163"/>
      <c r="D50" s="163"/>
      <c r="E50" s="163">
        <v>1</v>
      </c>
      <c r="F50" s="164">
        <v>0.05</v>
      </c>
      <c r="G50" s="179">
        <f t="shared" si="2"/>
        <v>4.2</v>
      </c>
      <c r="H50" s="175">
        <f t="shared" si="4"/>
        <v>0.6</v>
      </c>
      <c r="I50" s="179">
        <f t="shared" si="3"/>
        <v>5143</v>
      </c>
      <c r="J50" s="155"/>
      <c r="K50" s="155"/>
      <c r="L50" s="155"/>
      <c r="M50" s="155"/>
      <c r="N50" s="155"/>
      <c r="O50" s="155"/>
      <c r="P50" s="155"/>
      <c r="Q50" s="224" t="str">
        <f t="shared" si="1"/>
        <v>¥0.0058</v>
      </c>
      <c r="R50" s="225"/>
      <c r="S50" s="158"/>
    </row>
    <row r="51" spans="1:19" ht="14.25">
      <c r="A51" s="173" t="s">
        <v>343</v>
      </c>
      <c r="B51" s="163">
        <v>15</v>
      </c>
      <c r="C51" s="163"/>
      <c r="D51" s="163"/>
      <c r="E51" s="163">
        <v>1</v>
      </c>
      <c r="F51" s="164">
        <v>0.05</v>
      </c>
      <c r="G51" s="179">
        <f t="shared" si="2"/>
        <v>4.2</v>
      </c>
      <c r="H51" s="175">
        <f t="shared" si="4"/>
        <v>0.6</v>
      </c>
      <c r="I51" s="179">
        <f t="shared" si="3"/>
        <v>5143</v>
      </c>
      <c r="J51" s="155"/>
      <c r="K51" s="155"/>
      <c r="L51" s="155"/>
      <c r="M51" s="155"/>
      <c r="N51" s="155"/>
      <c r="O51" s="155"/>
      <c r="P51" s="155"/>
      <c r="Q51" s="224" t="str">
        <f t="shared" si="1"/>
        <v>¥0.0058</v>
      </c>
      <c r="R51" s="225"/>
      <c r="S51" s="158"/>
    </row>
    <row r="52" spans="1:19" ht="14.25">
      <c r="A52" s="173" t="s">
        <v>344</v>
      </c>
      <c r="B52" s="163"/>
      <c r="C52" s="163">
        <v>50</v>
      </c>
      <c r="D52" s="163"/>
      <c r="E52" s="163">
        <v>45</v>
      </c>
      <c r="F52" s="164">
        <v>0.05</v>
      </c>
      <c r="G52" s="179">
        <f t="shared" si="2"/>
        <v>56.7</v>
      </c>
      <c r="H52" s="175">
        <f t="shared" si="4"/>
        <v>8.1</v>
      </c>
      <c r="I52" s="179">
        <f t="shared" si="3"/>
        <v>5143</v>
      </c>
      <c r="J52" s="155"/>
      <c r="K52" s="155"/>
      <c r="L52" s="155"/>
      <c r="M52" s="155"/>
      <c r="N52" s="155"/>
      <c r="O52" s="155"/>
      <c r="P52" s="155"/>
      <c r="Q52" s="224" t="str">
        <f t="shared" si="1"/>
        <v>¥0.0788</v>
      </c>
      <c r="R52" s="225"/>
      <c r="S52" s="158"/>
    </row>
    <row r="53" spans="1:19" ht="14.25">
      <c r="A53" s="173" t="s">
        <v>347</v>
      </c>
      <c r="B53" s="163">
        <v>15</v>
      </c>
      <c r="C53" s="163"/>
      <c r="D53" s="163"/>
      <c r="E53" s="163">
        <v>2</v>
      </c>
      <c r="F53" s="164">
        <v>0.05</v>
      </c>
      <c r="G53" s="179">
        <f t="shared" si="2"/>
        <v>8.4</v>
      </c>
      <c r="H53" s="175">
        <f t="shared" si="4"/>
        <v>1.2</v>
      </c>
      <c r="I53" s="179">
        <f t="shared" si="3"/>
        <v>5143</v>
      </c>
      <c r="J53" s="155"/>
      <c r="K53" s="155"/>
      <c r="L53" s="155"/>
      <c r="M53" s="155"/>
      <c r="N53" s="155"/>
      <c r="O53" s="155"/>
      <c r="P53" s="155"/>
      <c r="Q53" s="224" t="str">
        <f t="shared" si="1"/>
        <v>¥0.0117</v>
      </c>
      <c r="R53" s="225"/>
      <c r="S53" s="158"/>
    </row>
    <row r="54" spans="1:19" ht="14.25">
      <c r="A54" s="173" t="s">
        <v>349</v>
      </c>
      <c r="B54" s="163">
        <v>15</v>
      </c>
      <c r="C54" s="163"/>
      <c r="D54" s="163"/>
      <c r="E54" s="163">
        <v>3</v>
      </c>
      <c r="F54" s="164">
        <v>0.05</v>
      </c>
      <c r="G54" s="179">
        <f t="shared" si="2"/>
        <v>12.6</v>
      </c>
      <c r="H54" s="175">
        <f t="shared" si="4"/>
        <v>1.8</v>
      </c>
      <c r="I54" s="179">
        <f t="shared" si="3"/>
        <v>5143</v>
      </c>
      <c r="J54" s="155"/>
      <c r="K54" s="155"/>
      <c r="L54" s="155"/>
      <c r="M54" s="155"/>
      <c r="N54" s="155"/>
      <c r="O54" s="155"/>
      <c r="P54" s="155"/>
      <c r="Q54" s="224" t="str">
        <f t="shared" si="1"/>
        <v>¥0.0175</v>
      </c>
      <c r="R54" s="225"/>
      <c r="S54" s="158"/>
    </row>
    <row r="55" spans="1:19" ht="14.25">
      <c r="A55" s="173" t="s">
        <v>346</v>
      </c>
      <c r="B55" s="163">
        <v>1</v>
      </c>
      <c r="C55" s="163"/>
      <c r="D55" s="163"/>
      <c r="E55" s="163">
        <v>1</v>
      </c>
      <c r="F55" s="164">
        <v>0.05</v>
      </c>
      <c r="G55" s="179">
        <f t="shared" si="2"/>
        <v>63</v>
      </c>
      <c r="H55" s="175">
        <f t="shared" si="4"/>
        <v>9</v>
      </c>
      <c r="I55" s="179">
        <f t="shared" si="3"/>
        <v>5143</v>
      </c>
      <c r="J55" s="155"/>
      <c r="K55" s="155"/>
      <c r="L55" s="155"/>
      <c r="M55" s="155"/>
      <c r="N55" s="155"/>
      <c r="O55" s="155"/>
      <c r="P55" s="155"/>
      <c r="Q55" s="224" t="str">
        <f t="shared" si="1"/>
        <v>¥0.0875</v>
      </c>
      <c r="R55" s="225"/>
      <c r="S55" s="158"/>
    </row>
    <row r="56" spans="1:19" ht="14.25">
      <c r="A56" s="173" t="s">
        <v>345</v>
      </c>
      <c r="B56" s="163">
        <v>40</v>
      </c>
      <c r="C56" s="163"/>
      <c r="D56" s="163"/>
      <c r="E56" s="163"/>
      <c r="F56" s="164">
        <v>0.05</v>
      </c>
      <c r="G56" s="179">
        <f t="shared" si="2"/>
        <v>0</v>
      </c>
      <c r="H56" s="175">
        <f t="shared" si="4"/>
        <v>0</v>
      </c>
      <c r="I56" s="179">
        <f t="shared" si="3"/>
        <v>0</v>
      </c>
      <c r="J56" s="155"/>
      <c r="K56" s="155"/>
      <c r="L56" s="155"/>
      <c r="M56" s="155"/>
      <c r="N56" s="155"/>
      <c r="O56" s="155"/>
      <c r="P56" s="155"/>
      <c r="Q56" s="224" t="str">
        <f t="shared" si="1"/>
        <v>¥0</v>
      </c>
      <c r="R56" s="225"/>
      <c r="S56" s="158"/>
    </row>
    <row r="57" spans="1:19" ht="14.25">
      <c r="A57" s="173" t="s">
        <v>350</v>
      </c>
      <c r="B57" s="163">
        <v>1</v>
      </c>
      <c r="C57" s="163"/>
      <c r="D57" s="163"/>
      <c r="E57" s="163">
        <v>1</v>
      </c>
      <c r="F57" s="164">
        <v>0.05</v>
      </c>
      <c r="G57" s="179">
        <f t="shared" si="2"/>
        <v>63</v>
      </c>
      <c r="H57" s="175">
        <f t="shared" si="4"/>
        <v>9</v>
      </c>
      <c r="I57" s="179">
        <f t="shared" si="3"/>
        <v>5143</v>
      </c>
      <c r="J57" s="155"/>
      <c r="K57" s="155"/>
      <c r="L57" s="155"/>
      <c r="M57" s="155"/>
      <c r="N57" s="155"/>
      <c r="O57" s="155"/>
      <c r="P57" s="155"/>
      <c r="Q57" s="224" t="str">
        <f t="shared" si="1"/>
        <v>¥0.0875</v>
      </c>
      <c r="R57" s="225"/>
      <c r="S57" s="158"/>
    </row>
    <row r="58" spans="1:19" ht="14.25">
      <c r="A58" s="173" t="s">
        <v>351</v>
      </c>
      <c r="B58" s="163">
        <v>12</v>
      </c>
      <c r="C58" s="163"/>
      <c r="D58" s="163"/>
      <c r="E58" s="163">
        <v>1</v>
      </c>
      <c r="F58" s="164">
        <v>0.05</v>
      </c>
      <c r="G58" s="179">
        <f t="shared" si="2"/>
        <v>5.3</v>
      </c>
      <c r="H58" s="175">
        <f t="shared" si="4"/>
        <v>0.76</v>
      </c>
      <c r="I58" s="179">
        <f t="shared" si="3"/>
        <v>5162</v>
      </c>
      <c r="J58" s="155"/>
      <c r="K58" s="155"/>
      <c r="L58" s="155"/>
      <c r="M58" s="155"/>
      <c r="N58" s="155"/>
      <c r="O58" s="155"/>
      <c r="P58" s="155"/>
      <c r="Q58" s="224" t="str">
        <f t="shared" si="1"/>
        <v>¥0.0074</v>
      </c>
      <c r="R58" s="225"/>
      <c r="S58" s="158"/>
    </row>
    <row r="59" spans="1:19" ht="15.75">
      <c r="A59" s="173" t="s">
        <v>354</v>
      </c>
      <c r="B59" s="163">
        <v>15</v>
      </c>
      <c r="C59" s="163"/>
      <c r="D59" s="163"/>
      <c r="E59" s="163"/>
      <c r="F59" s="164">
        <v>0.05</v>
      </c>
      <c r="G59" s="179">
        <f t="shared" si="2"/>
        <v>0</v>
      </c>
      <c r="H59" s="175">
        <f t="shared" si="4"/>
        <v>0</v>
      </c>
      <c r="I59" s="179">
        <f t="shared" si="3"/>
        <v>0</v>
      </c>
      <c r="J59" s="155"/>
      <c r="K59" s="155"/>
      <c r="L59" s="159"/>
      <c r="M59" s="155"/>
      <c r="N59" s="155"/>
      <c r="O59" s="155"/>
      <c r="P59" s="155"/>
      <c r="Q59" s="224" t="str">
        <f t="shared" si="1"/>
        <v>¥0</v>
      </c>
      <c r="R59" s="225"/>
      <c r="S59" s="158"/>
    </row>
    <row r="60" spans="1:19" ht="14.25">
      <c r="A60" s="173" t="s">
        <v>353</v>
      </c>
      <c r="B60" s="163">
        <v>15</v>
      </c>
      <c r="C60" s="163"/>
      <c r="D60" s="163"/>
      <c r="E60" s="163">
        <v>1</v>
      </c>
      <c r="F60" s="164">
        <v>0.05</v>
      </c>
      <c r="G60" s="179">
        <f t="shared" si="2"/>
        <v>4.2</v>
      </c>
      <c r="H60" s="175">
        <f t="shared" si="4"/>
        <v>0.6</v>
      </c>
      <c r="I60" s="179">
        <f t="shared" si="3"/>
        <v>5143</v>
      </c>
      <c r="J60" s="155"/>
      <c r="K60" s="155"/>
      <c r="L60" s="155"/>
      <c r="M60" s="155"/>
      <c r="N60" s="155"/>
      <c r="O60" s="155"/>
      <c r="P60" s="155"/>
      <c r="Q60" s="224" t="str">
        <f t="shared" si="1"/>
        <v>¥0.0058</v>
      </c>
      <c r="R60" s="225"/>
      <c r="S60" s="158"/>
    </row>
    <row r="61" spans="1:19" ht="14.25">
      <c r="A61" s="173" t="s">
        <v>349</v>
      </c>
      <c r="B61" s="163">
        <v>15</v>
      </c>
      <c r="C61" s="163"/>
      <c r="D61" s="163"/>
      <c r="E61" s="163"/>
      <c r="F61" s="164">
        <v>0.05</v>
      </c>
      <c r="G61" s="179">
        <f t="shared" si="2"/>
        <v>0</v>
      </c>
      <c r="H61" s="175">
        <f t="shared" si="4"/>
        <v>0</v>
      </c>
      <c r="I61" s="179">
        <f t="shared" si="3"/>
        <v>0</v>
      </c>
      <c r="J61" s="155"/>
      <c r="K61" s="155"/>
      <c r="L61" s="155"/>
      <c r="M61" s="155"/>
      <c r="N61" s="155"/>
      <c r="O61" s="155"/>
      <c r="P61" s="155"/>
      <c r="Q61" s="224" t="str">
        <f t="shared" si="1"/>
        <v>¥0</v>
      </c>
      <c r="R61" s="225"/>
      <c r="S61" s="158"/>
    </row>
    <row r="62" spans="1:19" ht="14.25">
      <c r="A62" s="173" t="s">
        <v>348</v>
      </c>
      <c r="B62" s="163">
        <v>15</v>
      </c>
      <c r="C62" s="163"/>
      <c r="D62" s="163"/>
      <c r="E62" s="163">
        <v>1</v>
      </c>
      <c r="F62" s="164">
        <v>0.05</v>
      </c>
      <c r="G62" s="179">
        <f t="shared" si="2"/>
        <v>4.2</v>
      </c>
      <c r="H62" s="175">
        <f t="shared" si="4"/>
        <v>0.6</v>
      </c>
      <c r="I62" s="179">
        <f t="shared" si="3"/>
        <v>5143</v>
      </c>
      <c r="J62" s="155"/>
      <c r="K62" s="155"/>
      <c r="L62" s="155"/>
      <c r="M62" s="155"/>
      <c r="N62" s="155"/>
      <c r="O62" s="155"/>
      <c r="P62" s="155"/>
      <c r="Q62" s="224" t="str">
        <f t="shared" si="1"/>
        <v>¥0.0058</v>
      </c>
      <c r="R62" s="225"/>
      <c r="S62" s="158"/>
    </row>
    <row r="63" spans="1:19" ht="15" thickBot="1">
      <c r="A63" s="174" t="s">
        <v>352</v>
      </c>
      <c r="B63" s="165">
        <v>20</v>
      </c>
      <c r="C63" s="165"/>
      <c r="D63" s="165"/>
      <c r="E63" s="165">
        <v>1</v>
      </c>
      <c r="F63" s="167">
        <v>0.05</v>
      </c>
      <c r="G63" s="179">
        <f t="shared" si="2"/>
        <v>3.2</v>
      </c>
      <c r="H63" s="175">
        <f t="shared" si="4"/>
        <v>0.46</v>
      </c>
      <c r="I63" s="179">
        <f t="shared" si="3"/>
        <v>5175</v>
      </c>
      <c r="J63" s="155"/>
      <c r="K63" s="155"/>
      <c r="L63" s="155"/>
      <c r="M63" s="155"/>
      <c r="N63" s="155"/>
      <c r="O63" s="155"/>
      <c r="P63" s="155"/>
      <c r="Q63" s="224" t="str">
        <f t="shared" si="1"/>
        <v>¥0.0044</v>
      </c>
      <c r="R63" s="225"/>
      <c r="S63" s="158"/>
    </row>
    <row r="64" spans="1:19" ht="15" thickBot="1">
      <c r="A64" s="168"/>
      <c r="B64" s="169"/>
      <c r="C64" s="169"/>
      <c r="D64" s="228" t="s">
        <v>371</v>
      </c>
      <c r="E64" s="228"/>
      <c r="F64" s="216">
        <f>ROUND(G38+G39+G40+G41+G42+G44+G43+G45+G46+G47+G48+G49+G50+G51+G52+G53+G54+G55+G56+G58+G57+G59+G60+G61+G62+G63,1)</f>
        <v>433.6</v>
      </c>
      <c r="G64" s="216"/>
      <c r="H64" s="184">
        <f>ROUND(H38+H39+H40+H41+H42+H44+H43+H45+H46+H47+H48+H49+H50+H51+H52+H53+H54+H55+H56+H58+H57+H59+H60+H61+H62+H63,1)</f>
        <v>62</v>
      </c>
      <c r="I64" s="216">
        <f>ROUND(I38+I39+I40+I41+I42+I44+I43+I45+I46+I47+I48+I49+I50+I51+I52+I53+I54+I55+I56+I58+I57+I59+I60+I61+I62+I63,1)</f>
        <v>82287</v>
      </c>
      <c r="J64" s="216"/>
      <c r="K64" s="184">
        <f>CB</f>
        <v>4982</v>
      </c>
      <c r="L64" s="216" t="str">
        <f>ROUND(TI*3600/F64,0)&amp;"pcs/人"</f>
        <v>83pcs/人</v>
      </c>
      <c r="M64" s="216"/>
      <c r="N64" s="184"/>
      <c r="O64" s="184"/>
      <c r="P64" s="184"/>
      <c r="Q64" s="216" t="str">
        <f>"¥"&amp;ROUND(FY/3600*F64,4)&amp;"元"</f>
        <v>¥0.6022元</v>
      </c>
      <c r="R64" s="216"/>
      <c r="S64" s="170"/>
    </row>
  </sheetData>
  <sheetProtection password="CC39" sheet="1" objects="1" scenarios="1"/>
  <mergeCells count="104">
    <mergeCell ref="L32:M32"/>
    <mergeCell ref="L33:M33"/>
    <mergeCell ref="A1:S1"/>
    <mergeCell ref="L3:M3"/>
    <mergeCell ref="A2:C2"/>
    <mergeCell ref="D3:F3"/>
    <mergeCell ref="D2:F2"/>
    <mergeCell ref="A3:C3"/>
    <mergeCell ref="G2:H2"/>
    <mergeCell ref="G3:H3"/>
    <mergeCell ref="L2:M2"/>
    <mergeCell ref="I2:K2"/>
    <mergeCell ref="J3:K3"/>
    <mergeCell ref="M22:O22"/>
    <mergeCell ref="N4:N5"/>
    <mergeCell ref="O12:Q12"/>
    <mergeCell ref="P22:Q22"/>
    <mergeCell ref="A5:B5"/>
    <mergeCell ref="K5:L5"/>
    <mergeCell ref="B4:C4"/>
    <mergeCell ref="L12:M12"/>
    <mergeCell ref="D11:D12"/>
    <mergeCell ref="G11:I11"/>
    <mergeCell ref="K4:L4"/>
    <mergeCell ref="B22:C22"/>
    <mergeCell ref="I22:L22"/>
    <mergeCell ref="A21:D21"/>
    <mergeCell ref="C11:C12"/>
    <mergeCell ref="E11:E12"/>
    <mergeCell ref="B11:B12"/>
    <mergeCell ref="F22:G22"/>
    <mergeCell ref="A11:A12"/>
    <mergeCell ref="B20:D20"/>
    <mergeCell ref="A28:B28"/>
    <mergeCell ref="A31:B31"/>
    <mergeCell ref="O23:P23"/>
    <mergeCell ref="J23:L23"/>
    <mergeCell ref="A23:H23"/>
    <mergeCell ref="A26:B26"/>
    <mergeCell ref="A25:B25"/>
    <mergeCell ref="A27:B27"/>
    <mergeCell ref="J27:K27"/>
    <mergeCell ref="J28:K28"/>
    <mergeCell ref="R26:S26"/>
    <mergeCell ref="R27:S27"/>
    <mergeCell ref="R28:S28"/>
    <mergeCell ref="R29:S29"/>
    <mergeCell ref="R30:S30"/>
    <mergeCell ref="R31:S31"/>
    <mergeCell ref="R32:S32"/>
    <mergeCell ref="R33:S33"/>
    <mergeCell ref="A32:B32"/>
    <mergeCell ref="C32:F32"/>
    <mergeCell ref="C33:F33"/>
    <mergeCell ref="J29:K29"/>
    <mergeCell ref="J30:K30"/>
    <mergeCell ref="J32:K32"/>
    <mergeCell ref="A29:B29"/>
    <mergeCell ref="A30:B30"/>
    <mergeCell ref="D64:E64"/>
    <mergeCell ref="B36:C36"/>
    <mergeCell ref="D36:E36"/>
    <mergeCell ref="J33:K33"/>
    <mergeCell ref="A33:B33"/>
    <mergeCell ref="A36:A37"/>
    <mergeCell ref="A35:B35"/>
    <mergeCell ref="C35:D35"/>
    <mergeCell ref="Q64:R64"/>
    <mergeCell ref="Q38:R38"/>
    <mergeCell ref="Q39:R39"/>
    <mergeCell ref="Q37:R37"/>
    <mergeCell ref="Q40:R40"/>
    <mergeCell ref="Q41:R41"/>
    <mergeCell ref="Q42:R42"/>
    <mergeCell ref="Q43:R43"/>
    <mergeCell ref="Q44:R44"/>
    <mergeCell ref="Q53:R53"/>
    <mergeCell ref="Q54:R54"/>
    <mergeCell ref="Q55:R55"/>
    <mergeCell ref="Q45:R45"/>
    <mergeCell ref="Q46:R46"/>
    <mergeCell ref="Q47:R47"/>
    <mergeCell ref="Q48:R48"/>
    <mergeCell ref="Q49:R49"/>
    <mergeCell ref="Q50:R50"/>
    <mergeCell ref="Q51:R51"/>
    <mergeCell ref="Q52:R52"/>
    <mergeCell ref="Q60:R60"/>
    <mergeCell ref="Q61:R61"/>
    <mergeCell ref="Q62:R62"/>
    <mergeCell ref="Q56:R56"/>
    <mergeCell ref="Q57:R57"/>
    <mergeCell ref="Q58:R58"/>
    <mergeCell ref="Q59:R59"/>
    <mergeCell ref="Q35:R35"/>
    <mergeCell ref="F35:G35"/>
    <mergeCell ref="F64:G64"/>
    <mergeCell ref="L64:M64"/>
    <mergeCell ref="K36:L36"/>
    <mergeCell ref="N36:O36"/>
    <mergeCell ref="O37:P37"/>
    <mergeCell ref="I64:J64"/>
    <mergeCell ref="P36:Q36"/>
    <mergeCell ref="Q63:R63"/>
  </mergeCells>
  <hyperlinks>
    <hyperlink ref="O13" r:id="rId1" display="DCR@H"/>
    <hyperlink ref="N13" r:id="rId2" display="DCR@20"/>
    <hyperlink ref="O6" r:id="rId3" display="DCR@H"/>
    <hyperlink ref="N6" r:id="rId4" display="DCR@20"/>
  </hyperlinks>
  <printOptions/>
  <pageMargins left="0.07874015748031496" right="0.07874015748031496" top="0.3937007874015748" bottom="0" header="0.1968503937007874" footer="0.1968503937007874"/>
  <pageSetup horizontalDpi="600" verticalDpi="600" orientation="landscape" paperSize="9" r:id="rId8"/>
  <headerFooter alignWithMargins="0">
    <oddHeader>&amp;L&amp;"Times New Roman,常规" &amp;T&amp;C&amp;F&amp; 辅助计算表&amp;R&amp;"Times New Roman,常规"&amp;N</oddHeader>
    <oddFooter>&amp;L&amp;"Times New Roman,常规"RD&amp;C&amp;"宋体,倾斜"制&amp;"Times New Roman,倾斜" &amp;"宋体,倾斜"表: 徐万军 &amp;D&amp;R 第 &amp;P 页</oddFooter>
  </headerFooter>
  <legacyDrawing r:id="rId6"/>
  <picture r:id="rId7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62"/>
  <sheetViews>
    <sheetView zoomScale="85" zoomScaleNormal="85" workbookViewId="0" topLeftCell="A1">
      <pane xSplit="9" ySplit="5" topLeftCell="J2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G42" sqref="G42"/>
    </sheetView>
  </sheetViews>
  <sheetFormatPr defaultColWidth="9.00390625" defaultRowHeight="14.25"/>
  <cols>
    <col min="1" max="1" width="9.00390625" style="19" customWidth="1"/>
    <col min="2" max="2" width="11.375" style="19" customWidth="1"/>
    <col min="3" max="3" width="9.125" style="19" bestFit="1" customWidth="1"/>
    <col min="4" max="4" width="10.125" style="19" customWidth="1"/>
    <col min="5" max="5" width="6.875" style="19" customWidth="1"/>
    <col min="6" max="6" width="10.00390625" style="19" customWidth="1"/>
    <col min="7" max="7" width="9.25390625" style="19" customWidth="1"/>
    <col min="8" max="8" width="9.00390625" style="19" customWidth="1"/>
    <col min="9" max="9" width="10.625" style="19" customWidth="1"/>
    <col min="10" max="10" width="9.00390625" style="20" customWidth="1"/>
    <col min="11" max="16384" width="9.00390625" style="19" customWidth="1"/>
  </cols>
  <sheetData>
    <row r="1" ht="15.75">
      <c r="A1" s="192" t="s">
        <v>409</v>
      </c>
    </row>
    <row r="2" ht="14.25">
      <c r="A2" s="18"/>
    </row>
    <row r="3" spans="1:9" ht="20.25">
      <c r="A3" s="300" t="s">
        <v>103</v>
      </c>
      <c r="B3" s="300"/>
      <c r="C3" s="300"/>
      <c r="D3" s="300"/>
      <c r="E3" s="300"/>
      <c r="F3" s="300"/>
      <c r="G3" s="300"/>
      <c r="H3" s="300"/>
      <c r="I3" s="300"/>
    </row>
    <row r="4" spans="1:9" ht="15.75">
      <c r="A4" s="19" t="s">
        <v>139</v>
      </c>
      <c r="B4" s="9">
        <f>calculate!A3</f>
        <v>0</v>
      </c>
      <c r="C4" s="21" t="s">
        <v>104</v>
      </c>
      <c r="D4" s="307">
        <f>calculate!D3</f>
        <v>0</v>
      </c>
      <c r="E4" s="307"/>
      <c r="F4" s="19" t="s">
        <v>105</v>
      </c>
      <c r="G4" s="9">
        <f>calculate!G3</f>
        <v>0</v>
      </c>
      <c r="H4" s="19" t="s">
        <v>140</v>
      </c>
      <c r="I4" s="22">
        <v>39252</v>
      </c>
    </row>
    <row r="5" spans="1:9" ht="15.75">
      <c r="A5" s="23" t="s">
        <v>106</v>
      </c>
      <c r="B5" s="301" t="s">
        <v>107</v>
      </c>
      <c r="C5" s="302"/>
      <c r="D5" s="302"/>
      <c r="E5" s="303"/>
      <c r="F5" s="23" t="s">
        <v>108</v>
      </c>
      <c r="G5" s="21" t="s">
        <v>109</v>
      </c>
      <c r="H5" s="24" t="s">
        <v>110</v>
      </c>
      <c r="I5" s="25" t="s">
        <v>111</v>
      </c>
    </row>
    <row r="6" spans="1:11" ht="15.75">
      <c r="A6" s="294" t="s">
        <v>400</v>
      </c>
      <c r="B6" s="27" t="s">
        <v>449</v>
      </c>
      <c r="C6" s="16" t="str">
        <f>IF(K6="",calculate!F8,K6)</f>
        <v>32AWG</v>
      </c>
      <c r="D6" s="28" t="s">
        <v>452</v>
      </c>
      <c r="E6" s="29"/>
      <c r="F6" s="30" t="s">
        <v>160</v>
      </c>
      <c r="G6" s="13">
        <f>IF(J6="",calculate!P8,J6)</f>
        <v>62</v>
      </c>
      <c r="H6" s="24"/>
      <c r="I6" s="23"/>
      <c r="J6" s="20">
        <v>62</v>
      </c>
      <c r="K6" s="31" t="s">
        <v>450</v>
      </c>
    </row>
    <row r="7" spans="1:11" ht="15.75">
      <c r="A7" s="304"/>
      <c r="B7" s="27"/>
      <c r="C7" s="16" t="str">
        <f>IF(K7="",calculate!F9,K7)</f>
        <v>/</v>
      </c>
      <c r="D7" s="28"/>
      <c r="E7" s="29"/>
      <c r="F7" s="30" t="s">
        <v>160</v>
      </c>
      <c r="G7" s="13" t="str">
        <f>IF(J7="",calculate!P9,J7)</f>
        <v>/</v>
      </c>
      <c r="H7" s="24"/>
      <c r="I7" s="23"/>
      <c r="J7" s="32" t="s">
        <v>170</v>
      </c>
      <c r="K7" s="31" t="s">
        <v>170</v>
      </c>
    </row>
    <row r="8" spans="1:11" ht="15.75">
      <c r="A8" s="304"/>
      <c r="B8" s="27" t="s">
        <v>449</v>
      </c>
      <c r="C8" s="16" t="str">
        <f>IF(K8="",calculate!F15,K8)</f>
        <v>21AWG</v>
      </c>
      <c r="D8" s="28" t="s">
        <v>452</v>
      </c>
      <c r="E8" s="29"/>
      <c r="F8" s="30" t="s">
        <v>160</v>
      </c>
      <c r="G8" s="13">
        <f>IF(J8="",calculate!P15,J8)</f>
        <v>68</v>
      </c>
      <c r="H8" s="24"/>
      <c r="I8" s="23"/>
      <c r="J8" s="32">
        <v>68</v>
      </c>
      <c r="K8" s="31" t="s">
        <v>451</v>
      </c>
    </row>
    <row r="9" spans="1:11" ht="15.75">
      <c r="A9" s="304"/>
      <c r="B9" s="27"/>
      <c r="C9" s="16" t="str">
        <f>IF(K9="",calculate!F16,K9)</f>
        <v>/</v>
      </c>
      <c r="D9" s="28"/>
      <c r="E9" s="29"/>
      <c r="F9" s="30" t="s">
        <v>160</v>
      </c>
      <c r="G9" s="13" t="str">
        <f>IF(J9="",calculate!P16,J9)</f>
        <v>/</v>
      </c>
      <c r="H9" s="24"/>
      <c r="I9" s="23"/>
      <c r="J9" s="32" t="s">
        <v>170</v>
      </c>
      <c r="K9" s="31" t="s">
        <v>170</v>
      </c>
    </row>
    <row r="10" spans="1:11" ht="15.75">
      <c r="A10" s="304"/>
      <c r="B10" s="27"/>
      <c r="C10" s="16">
        <f>IF(K10="",calculate!F17,K10)</f>
        <v>0</v>
      </c>
      <c r="D10" s="28"/>
      <c r="E10" s="29"/>
      <c r="F10" s="30" t="s">
        <v>160</v>
      </c>
      <c r="G10" s="13">
        <f>IF(J10="",calculate!P17,J10)</f>
        <v>0</v>
      </c>
      <c r="H10" s="24"/>
      <c r="I10" s="23"/>
      <c r="J10" s="32"/>
      <c r="K10" s="31"/>
    </row>
    <row r="11" spans="1:11" ht="15.75">
      <c r="A11" s="304"/>
      <c r="B11" s="27"/>
      <c r="C11" s="16">
        <f>IF(K11="",calculate!F18,K11)</f>
        <v>0</v>
      </c>
      <c r="D11" s="28"/>
      <c r="E11" s="29"/>
      <c r="F11" s="30" t="s">
        <v>160</v>
      </c>
      <c r="G11" s="13">
        <f>IF(J11="",calculate!P18,J11)</f>
        <v>0</v>
      </c>
      <c r="H11" s="24"/>
      <c r="I11" s="23"/>
      <c r="J11" s="32"/>
      <c r="K11" s="31"/>
    </row>
    <row r="12" spans="1:11" ht="15.75">
      <c r="A12" s="295"/>
      <c r="B12" s="27"/>
      <c r="C12" s="16">
        <f>IF(K12="",calculate!F19,K12)</f>
        <v>0</v>
      </c>
      <c r="D12" s="28"/>
      <c r="E12" s="29"/>
      <c r="F12" s="30" t="s">
        <v>160</v>
      </c>
      <c r="G12" s="13">
        <f>IF(J12="",calculate!P19,J12)</f>
        <v>0</v>
      </c>
      <c r="H12" s="24"/>
      <c r="I12" s="23"/>
      <c r="J12" s="32"/>
      <c r="K12" s="31"/>
    </row>
    <row r="13" spans="1:11" ht="15.75">
      <c r="A13" s="26" t="s">
        <v>113</v>
      </c>
      <c r="B13" s="305" t="str">
        <f>IF(K13="",calculate!R5&amp;" "&amp;calculate!Q2,K13)</f>
        <v>EI66 H18</v>
      </c>
      <c r="C13" s="306"/>
      <c r="D13" s="14">
        <f>calculate!R2</f>
        <v>0.35</v>
      </c>
      <c r="E13" s="29" t="s">
        <v>2</v>
      </c>
      <c r="F13" s="34" t="s">
        <v>112</v>
      </c>
      <c r="G13" s="13">
        <f>IF(J13="",calculate!S5,J13)</f>
        <v>360</v>
      </c>
      <c r="H13" s="24"/>
      <c r="I13" s="23"/>
      <c r="J13" s="32">
        <v>360</v>
      </c>
      <c r="K13" s="31" t="s">
        <v>445</v>
      </c>
    </row>
    <row r="14" spans="1:11" ht="15.75">
      <c r="A14" s="35" t="s">
        <v>54</v>
      </c>
      <c r="B14" s="17" t="str">
        <f>IF(J14="",calculate!B4,J14)</f>
        <v>EI66*16.5</v>
      </c>
      <c r="C14" s="298" t="s">
        <v>447</v>
      </c>
      <c r="D14" s="298"/>
      <c r="E14" s="299"/>
      <c r="F14" s="294" t="s">
        <v>120</v>
      </c>
      <c r="G14" s="294">
        <v>1</v>
      </c>
      <c r="H14" s="296" t="s">
        <v>446</v>
      </c>
      <c r="I14" s="23"/>
      <c r="J14" s="32" t="s">
        <v>440</v>
      </c>
      <c r="K14" s="31"/>
    </row>
    <row r="15" spans="1:11" ht="15.75">
      <c r="A15" s="33" t="s">
        <v>178</v>
      </c>
      <c r="B15" s="193" t="str">
        <f>IF(J15="",B14,J15)</f>
        <v>EI66*16.5</v>
      </c>
      <c r="C15" s="27"/>
      <c r="D15" s="28"/>
      <c r="E15" s="29"/>
      <c r="F15" s="295"/>
      <c r="G15" s="295"/>
      <c r="H15" s="297"/>
      <c r="I15" s="23"/>
      <c r="J15" s="32"/>
      <c r="K15" s="31"/>
    </row>
    <row r="16" spans="1:10" ht="15.75">
      <c r="A16" s="35" t="s">
        <v>403</v>
      </c>
      <c r="B16" s="193">
        <f>IF(J16="",calculate!L33,J16)</f>
        <v>0</v>
      </c>
      <c r="C16" s="291"/>
      <c r="D16" s="292"/>
      <c r="E16" s="293"/>
      <c r="F16" s="34" t="s">
        <v>114</v>
      </c>
      <c r="G16" s="34">
        <v>4</v>
      </c>
      <c r="H16" s="24"/>
      <c r="I16" s="23"/>
      <c r="J16" s="32"/>
    </row>
    <row r="17" spans="1:9" ht="15.75">
      <c r="A17" s="294" t="s">
        <v>115</v>
      </c>
      <c r="B17" s="308"/>
      <c r="C17" s="309"/>
      <c r="D17" s="309"/>
      <c r="E17" s="310"/>
      <c r="F17" s="37" t="s">
        <v>116</v>
      </c>
      <c r="G17" s="38"/>
      <c r="H17" s="39"/>
      <c r="I17" s="40"/>
    </row>
    <row r="18" spans="1:9" ht="15.75">
      <c r="A18" s="304"/>
      <c r="B18" s="308"/>
      <c r="C18" s="309"/>
      <c r="D18" s="309"/>
      <c r="E18" s="310"/>
      <c r="F18" s="37" t="s">
        <v>116</v>
      </c>
      <c r="G18" s="38"/>
      <c r="H18" s="39"/>
      <c r="I18" s="40"/>
    </row>
    <row r="19" spans="1:9" ht="15.75">
      <c r="A19" s="304"/>
      <c r="B19" s="308"/>
      <c r="C19" s="309"/>
      <c r="D19" s="309"/>
      <c r="E19" s="310"/>
      <c r="F19" s="37" t="s">
        <v>116</v>
      </c>
      <c r="G19" s="38"/>
      <c r="H19" s="39"/>
      <c r="I19" s="40"/>
    </row>
    <row r="20" spans="1:9" ht="15.75">
      <c r="A20" s="304"/>
      <c r="B20" s="308"/>
      <c r="C20" s="309"/>
      <c r="D20" s="309"/>
      <c r="E20" s="310"/>
      <c r="F20" s="37"/>
      <c r="G20" s="38"/>
      <c r="H20" s="39"/>
      <c r="I20" s="40"/>
    </row>
    <row r="21" spans="1:9" ht="15.75">
      <c r="A21" s="304"/>
      <c r="B21" s="308"/>
      <c r="C21" s="309"/>
      <c r="D21" s="309"/>
      <c r="E21" s="310"/>
      <c r="F21" s="37"/>
      <c r="G21" s="38"/>
      <c r="H21" s="39"/>
      <c r="I21" s="40"/>
    </row>
    <row r="22" spans="1:9" ht="15.75">
      <c r="A22" s="304"/>
      <c r="B22" s="308"/>
      <c r="C22" s="311"/>
      <c r="D22" s="311"/>
      <c r="E22" s="312"/>
      <c r="F22" s="37" t="s">
        <v>116</v>
      </c>
      <c r="G22" s="36"/>
      <c r="H22" s="24"/>
      <c r="I22" s="23"/>
    </row>
    <row r="23" spans="1:9" ht="14.25">
      <c r="A23" s="295"/>
      <c r="B23" s="313"/>
      <c r="C23" s="311"/>
      <c r="D23" s="311"/>
      <c r="E23" s="312"/>
      <c r="F23" s="37" t="s">
        <v>116</v>
      </c>
      <c r="G23" s="36"/>
      <c r="H23" s="24"/>
      <c r="I23" s="23"/>
    </row>
    <row r="24" spans="1:9" ht="15.75">
      <c r="A24" s="26" t="s">
        <v>117</v>
      </c>
      <c r="B24" s="315">
        <f>calculate!J33</f>
        <v>0</v>
      </c>
      <c r="C24" s="316"/>
      <c r="D24" s="316"/>
      <c r="E24" s="317"/>
      <c r="F24" s="34" t="s">
        <v>114</v>
      </c>
      <c r="G24" s="36">
        <v>1</v>
      </c>
      <c r="H24" s="289"/>
      <c r="I24" s="290"/>
    </row>
    <row r="25" spans="1:11" ht="15.75">
      <c r="A25" s="294" t="s">
        <v>118</v>
      </c>
      <c r="B25" s="318" t="str">
        <f>IF(K25="",calculate!A27&amp;":"&amp;calculate!C27&amp;"*"&amp;calculate!D27&amp;calculate!E27&amp;"*"&amp;calculate!G27,J25)</f>
        <v>/</v>
      </c>
      <c r="C25" s="319"/>
      <c r="D25" s="319"/>
      <c r="E25" s="320"/>
      <c r="F25" s="30" t="s">
        <v>112</v>
      </c>
      <c r="G25" s="10" t="str">
        <f>IF(J25="",calculate!H27,J25)</f>
        <v>/</v>
      </c>
      <c r="H25" s="24"/>
      <c r="I25" s="23"/>
      <c r="J25" s="32" t="s">
        <v>170</v>
      </c>
      <c r="K25" s="31" t="s">
        <v>261</v>
      </c>
    </row>
    <row r="26" spans="1:11" ht="15.75">
      <c r="A26" s="304"/>
      <c r="B26" s="318" t="str">
        <f>IF(K26="",calculate!A28&amp;":"&amp;calculate!C28&amp;"*"&amp;calculate!D28&amp;calculate!E28&amp;"*"&amp;calculate!G28,J26)</f>
        <v>/</v>
      </c>
      <c r="C26" s="319"/>
      <c r="D26" s="319"/>
      <c r="E26" s="320"/>
      <c r="F26" s="30" t="s">
        <v>112</v>
      </c>
      <c r="G26" s="10" t="str">
        <f>IF(J26="",calculate!H28,J26)</f>
        <v>/</v>
      </c>
      <c r="H26" s="24"/>
      <c r="I26" s="23"/>
      <c r="J26" s="32" t="s">
        <v>260</v>
      </c>
      <c r="K26" s="31" t="s">
        <v>260</v>
      </c>
    </row>
    <row r="27" spans="1:9" ht="15.75">
      <c r="A27" s="314" t="s">
        <v>119</v>
      </c>
      <c r="B27" s="308"/>
      <c r="C27" s="311"/>
      <c r="D27" s="311"/>
      <c r="E27" s="312"/>
      <c r="F27" s="34" t="s">
        <v>120</v>
      </c>
      <c r="G27" s="36">
        <v>4</v>
      </c>
      <c r="H27" s="24"/>
      <c r="I27" s="23"/>
    </row>
    <row r="28" spans="1:9" ht="14.25">
      <c r="A28" s="314"/>
      <c r="B28" s="313"/>
      <c r="C28" s="311"/>
      <c r="D28" s="311"/>
      <c r="E28" s="312"/>
      <c r="F28" s="34" t="s">
        <v>120</v>
      </c>
      <c r="G28" s="36"/>
      <c r="H28" s="24"/>
      <c r="I28" s="23"/>
    </row>
    <row r="29" spans="1:9" ht="15.75">
      <c r="A29" s="34" t="s">
        <v>121</v>
      </c>
      <c r="B29" s="308"/>
      <c r="C29" s="311"/>
      <c r="D29" s="311"/>
      <c r="E29" s="312"/>
      <c r="F29" s="34" t="s">
        <v>114</v>
      </c>
      <c r="G29" s="34">
        <v>8</v>
      </c>
      <c r="H29" s="24"/>
      <c r="I29" s="23"/>
    </row>
    <row r="30" spans="1:9" ht="14.25">
      <c r="A30" s="34" t="s">
        <v>122</v>
      </c>
      <c r="B30" s="313"/>
      <c r="C30" s="311"/>
      <c r="D30" s="311"/>
      <c r="E30" s="312"/>
      <c r="F30" s="34" t="s">
        <v>114</v>
      </c>
      <c r="G30" s="34"/>
      <c r="H30" s="24"/>
      <c r="I30" s="23"/>
    </row>
    <row r="31" spans="1:11" ht="15.75">
      <c r="A31" s="294" t="s">
        <v>123</v>
      </c>
      <c r="B31" s="318" t="str">
        <f>IF(K31="",calculate!A25&amp;"/"&amp;calculate!C25&amp;"*"&amp;calculate!D25&amp;calculate!E25,K31)</f>
        <v>3M#44/0.139*55</v>
      </c>
      <c r="C31" s="319"/>
      <c r="D31" s="319"/>
      <c r="E31" s="320"/>
      <c r="F31" s="30" t="s">
        <v>159</v>
      </c>
      <c r="G31" s="10">
        <f>IF(J31="",calculate!G25*0.001,J31)</f>
        <v>0.2</v>
      </c>
      <c r="H31" s="24"/>
      <c r="I31" s="23"/>
      <c r="J31" s="32">
        <v>0.2</v>
      </c>
      <c r="K31" s="31"/>
    </row>
    <row r="32" spans="1:11" ht="15.75">
      <c r="A32" s="304"/>
      <c r="B32" s="318" t="str">
        <f>IF(K32="",calculate!A26&amp;"/"&amp;calculate!C26&amp;"*"&amp;calculate!D26&amp;calculate!E26,K32)</f>
        <v>/</v>
      </c>
      <c r="C32" s="319"/>
      <c r="D32" s="319"/>
      <c r="E32" s="320"/>
      <c r="F32" s="30" t="s">
        <v>159</v>
      </c>
      <c r="G32" s="10" t="str">
        <f>IF(J32="",calculate!G26*0.001,J32)</f>
        <v>/</v>
      </c>
      <c r="H32" s="24"/>
      <c r="I32" s="23"/>
      <c r="J32" s="32" t="s">
        <v>170</v>
      </c>
      <c r="K32" s="31" t="s">
        <v>170</v>
      </c>
    </row>
    <row r="33" spans="1:11" ht="15.75">
      <c r="A33" s="304"/>
      <c r="B33" s="308"/>
      <c r="C33" s="311"/>
      <c r="D33" s="311"/>
      <c r="E33" s="312"/>
      <c r="F33" s="30" t="s">
        <v>159</v>
      </c>
      <c r="G33" s="36"/>
      <c r="H33" s="24"/>
      <c r="I33" s="23"/>
      <c r="K33" s="31" t="s">
        <v>170</v>
      </c>
    </row>
    <row r="34" spans="1:9" ht="14.25">
      <c r="A34" s="295"/>
      <c r="B34" s="313"/>
      <c r="C34" s="311"/>
      <c r="D34" s="311"/>
      <c r="E34" s="312"/>
      <c r="F34" s="34"/>
      <c r="G34" s="36"/>
      <c r="H34" s="24"/>
      <c r="I34" s="23"/>
    </row>
    <row r="35" spans="1:9" ht="15.75">
      <c r="A35" s="294" t="s">
        <v>125</v>
      </c>
      <c r="B35" s="308"/>
      <c r="C35" s="311"/>
      <c r="D35" s="311"/>
      <c r="E35" s="312"/>
      <c r="F35" s="34" t="s">
        <v>124</v>
      </c>
      <c r="G35" s="36"/>
      <c r="H35" s="24"/>
      <c r="I35" s="23"/>
    </row>
    <row r="36" spans="1:9" ht="14.25">
      <c r="A36" s="304"/>
      <c r="B36" s="313"/>
      <c r="C36" s="311"/>
      <c r="D36" s="311"/>
      <c r="E36" s="312"/>
      <c r="F36" s="34" t="s">
        <v>124</v>
      </c>
      <c r="G36" s="36"/>
      <c r="H36" s="24"/>
      <c r="I36" s="23"/>
    </row>
    <row r="37" spans="1:8" ht="14.25" customHeight="1">
      <c r="A37" s="41" t="s">
        <v>433</v>
      </c>
      <c r="F37" s="19" t="s">
        <v>120</v>
      </c>
      <c r="H37" s="330"/>
    </row>
    <row r="38" spans="1:8" ht="15.75" customHeight="1">
      <c r="A38" s="42" t="s">
        <v>432</v>
      </c>
      <c r="B38" s="313"/>
      <c r="C38" s="311"/>
      <c r="D38" s="311"/>
      <c r="E38" s="312"/>
      <c r="F38" s="31" t="s">
        <v>431</v>
      </c>
      <c r="H38" s="331"/>
    </row>
    <row r="39" spans="1:9" ht="15.75">
      <c r="A39" s="40" t="s">
        <v>126</v>
      </c>
      <c r="B39" s="315">
        <f>IF(K39="",calculate!F22,J39)</f>
        <v>0</v>
      </c>
      <c r="C39" s="316"/>
      <c r="D39" s="316"/>
      <c r="E39" s="317"/>
      <c r="F39" s="30" t="s">
        <v>160</v>
      </c>
      <c r="G39" s="10" t="str">
        <f>IF(J39="",calculate!H22,J39)</f>
        <v>无</v>
      </c>
      <c r="H39" s="24"/>
      <c r="I39" s="23"/>
    </row>
    <row r="40" spans="1:9" ht="15.75">
      <c r="A40" s="34" t="s">
        <v>127</v>
      </c>
      <c r="B40" s="315" t="str">
        <f>IF(K40="",calculate!B22,J40)</f>
        <v>AC-43</v>
      </c>
      <c r="C40" s="316"/>
      <c r="D40" s="316"/>
      <c r="E40" s="317"/>
      <c r="F40" s="30" t="s">
        <v>160</v>
      </c>
      <c r="G40" s="10" t="str">
        <f>IF(J23="",calculate!D22,J40)</f>
        <v>7.4g</v>
      </c>
      <c r="H40" s="43"/>
      <c r="I40" s="23"/>
    </row>
    <row r="41" spans="1:9" ht="15.75">
      <c r="A41" s="34" t="s">
        <v>128</v>
      </c>
      <c r="B41" s="308" t="str">
        <f>IF(B40="AC-43","KT-100",IF(B40="8562/C",88123,""))</f>
        <v>KT-100</v>
      </c>
      <c r="C41" s="309"/>
      <c r="D41" s="309"/>
      <c r="E41" s="310"/>
      <c r="F41" s="34" t="s">
        <v>112</v>
      </c>
      <c r="G41" s="10" t="str">
        <f>G40</f>
        <v>7.4g</v>
      </c>
      <c r="H41" s="43"/>
      <c r="I41" s="23"/>
    </row>
    <row r="42" spans="1:9" ht="15.75">
      <c r="A42" s="37" t="s">
        <v>129</v>
      </c>
      <c r="B42" s="313" t="s">
        <v>155</v>
      </c>
      <c r="C42" s="311"/>
      <c r="D42" s="311"/>
      <c r="E42" s="312"/>
      <c r="F42" s="34" t="s">
        <v>112</v>
      </c>
      <c r="G42" s="10">
        <f>IF(J42="",calculate!H32,J42)</f>
        <v>0.375</v>
      </c>
      <c r="H42" s="24"/>
      <c r="I42" s="23"/>
    </row>
    <row r="43" spans="1:9" ht="15.75">
      <c r="A43" s="34" t="s">
        <v>130</v>
      </c>
      <c r="B43" s="308" t="s">
        <v>157</v>
      </c>
      <c r="C43" s="309"/>
      <c r="D43" s="309"/>
      <c r="E43" s="310"/>
      <c r="F43" s="34" t="s">
        <v>112</v>
      </c>
      <c r="G43" s="10">
        <f>IF(J43="",calculate!H33,J43)</f>
        <v>0.3</v>
      </c>
      <c r="H43" s="44"/>
      <c r="I43" s="23"/>
    </row>
    <row r="44" spans="1:9" ht="15.75">
      <c r="A44" s="34" t="s">
        <v>131</v>
      </c>
      <c r="B44" s="308" t="s">
        <v>448</v>
      </c>
      <c r="C44" s="309"/>
      <c r="D44" s="309"/>
      <c r="E44" s="310"/>
      <c r="F44" s="34" t="s">
        <v>114</v>
      </c>
      <c r="G44" s="36">
        <v>1</v>
      </c>
      <c r="H44" s="43"/>
      <c r="I44" s="23"/>
    </row>
    <row r="45" spans="1:9" ht="14.25">
      <c r="A45" s="294" t="s">
        <v>132</v>
      </c>
      <c r="B45" s="321" t="s">
        <v>133</v>
      </c>
      <c r="C45" s="322"/>
      <c r="D45" s="322"/>
      <c r="E45" s="322"/>
      <c r="F45" s="322"/>
      <c r="G45" s="322"/>
      <c r="H45" s="322"/>
      <c r="I45" s="323"/>
    </row>
    <row r="46" spans="1:9" ht="14.25">
      <c r="A46" s="304"/>
      <c r="B46" s="321" t="s">
        <v>134</v>
      </c>
      <c r="C46" s="322"/>
      <c r="D46" s="322"/>
      <c r="E46" s="322"/>
      <c r="F46" s="322"/>
      <c r="G46" s="322"/>
      <c r="H46" s="322"/>
      <c r="I46" s="323"/>
    </row>
    <row r="47" spans="1:10" ht="15.75">
      <c r="A47" s="295"/>
      <c r="B47" s="321" t="s">
        <v>377</v>
      </c>
      <c r="C47" s="323"/>
      <c r="D47" s="324">
        <f>IF(J47="",calculate!Q64,J47)</f>
        <v>0.8</v>
      </c>
      <c r="E47" s="325"/>
      <c r="F47" s="325"/>
      <c r="G47" s="325"/>
      <c r="H47" s="325"/>
      <c r="I47" s="325"/>
      <c r="J47" s="20">
        <v>0.8</v>
      </c>
    </row>
    <row r="48" spans="1:9" ht="14.25">
      <c r="A48" s="326" t="s">
        <v>135</v>
      </c>
      <c r="B48" s="327" t="s">
        <v>136</v>
      </c>
      <c r="C48" s="327"/>
      <c r="D48" s="326" t="s">
        <v>137</v>
      </c>
      <c r="E48" s="328"/>
      <c r="F48" s="329"/>
      <c r="G48" s="326" t="s">
        <v>138</v>
      </c>
      <c r="H48" s="329"/>
      <c r="I48" s="329"/>
    </row>
    <row r="49" spans="1:9" ht="14.25">
      <c r="A49" s="326"/>
      <c r="B49" s="326"/>
      <c r="C49" s="326"/>
      <c r="D49" s="326"/>
      <c r="E49" s="329"/>
      <c r="F49" s="329"/>
      <c r="G49" s="326"/>
      <c r="H49" s="329"/>
      <c r="I49" s="329"/>
    </row>
    <row r="50" ht="15.75">
      <c r="E50" s="31"/>
    </row>
    <row r="51" spans="4:7" ht="15.75">
      <c r="D51" s="31" t="s">
        <v>388</v>
      </c>
      <c r="G51" s="31" t="s">
        <v>389</v>
      </c>
    </row>
    <row r="52" ht="15.75">
      <c r="C52" s="31"/>
    </row>
    <row r="54" ht="14.25">
      <c r="A54" s="19" t="s">
        <v>241</v>
      </c>
    </row>
    <row r="55" ht="14.25">
      <c r="A55" s="19" t="s">
        <v>242</v>
      </c>
    </row>
    <row r="56" ht="14.25">
      <c r="A56" s="19" t="s">
        <v>243</v>
      </c>
    </row>
    <row r="57" ht="14.25">
      <c r="A57" s="19" t="s">
        <v>244</v>
      </c>
    </row>
    <row r="58" spans="1:4" ht="15.75">
      <c r="A58" s="19" t="s">
        <v>245</v>
      </c>
      <c r="D58" s="31"/>
    </row>
    <row r="59" ht="14.25">
      <c r="A59" s="19" t="s">
        <v>246</v>
      </c>
    </row>
    <row r="62" ht="15.75">
      <c r="D62" s="31"/>
    </row>
  </sheetData>
  <sheetProtection password="CC39" sheet="1" objects="1" scenarios="1"/>
  <mergeCells count="55">
    <mergeCell ref="G48:G49"/>
    <mergeCell ref="H48:I49"/>
    <mergeCell ref="B38:E38"/>
    <mergeCell ref="B42:E42"/>
    <mergeCell ref="B43:E43"/>
    <mergeCell ref="B44:E44"/>
    <mergeCell ref="B39:E39"/>
    <mergeCell ref="B40:E40"/>
    <mergeCell ref="B41:E41"/>
    <mergeCell ref="H37:H38"/>
    <mergeCell ref="A48:A49"/>
    <mergeCell ref="B48:C49"/>
    <mergeCell ref="D48:D49"/>
    <mergeCell ref="E48:F49"/>
    <mergeCell ref="A45:A47"/>
    <mergeCell ref="B45:I45"/>
    <mergeCell ref="B46:I46"/>
    <mergeCell ref="B47:C47"/>
    <mergeCell ref="D47:I47"/>
    <mergeCell ref="A35:A36"/>
    <mergeCell ref="B29:E29"/>
    <mergeCell ref="B30:E30"/>
    <mergeCell ref="A31:A34"/>
    <mergeCell ref="B31:E31"/>
    <mergeCell ref="B32:E32"/>
    <mergeCell ref="B33:E33"/>
    <mergeCell ref="B34:E34"/>
    <mergeCell ref="B36:E36"/>
    <mergeCell ref="B35:E35"/>
    <mergeCell ref="A27:A28"/>
    <mergeCell ref="B24:E24"/>
    <mergeCell ref="A25:A26"/>
    <mergeCell ref="B25:E25"/>
    <mergeCell ref="B26:E26"/>
    <mergeCell ref="B28:E28"/>
    <mergeCell ref="B27:E27"/>
    <mergeCell ref="A17:A23"/>
    <mergeCell ref="B17:E17"/>
    <mergeCell ref="B18:E18"/>
    <mergeCell ref="B19:E19"/>
    <mergeCell ref="B22:E22"/>
    <mergeCell ref="B23:E23"/>
    <mergeCell ref="B20:E20"/>
    <mergeCell ref="B21:E21"/>
    <mergeCell ref="A3:I3"/>
    <mergeCell ref="B5:E5"/>
    <mergeCell ref="A6:A12"/>
    <mergeCell ref="B13:C13"/>
    <mergeCell ref="D4:E4"/>
    <mergeCell ref="H24:I24"/>
    <mergeCell ref="C16:E16"/>
    <mergeCell ref="F14:F15"/>
    <mergeCell ref="G14:G15"/>
    <mergeCell ref="H14:H15"/>
    <mergeCell ref="C14:E14"/>
  </mergeCells>
  <printOptions/>
  <pageMargins left="0.61" right="0.37" top="0.19" bottom="0.36" header="0.25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D17"/>
  <sheetViews>
    <sheetView workbookViewId="0" topLeftCell="A1">
      <pane xSplit="4" ySplit="1" topLeftCell="E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16" sqref="B16"/>
    </sheetView>
  </sheetViews>
  <sheetFormatPr defaultColWidth="9.00390625" defaultRowHeight="14.25"/>
  <cols>
    <col min="2" max="2" width="57.375" style="0" customWidth="1"/>
  </cols>
  <sheetData>
    <row r="1" spans="1:3" ht="15.75">
      <c r="A1" t="s">
        <v>279</v>
      </c>
      <c r="B1" t="s">
        <v>269</v>
      </c>
      <c r="C1" s="1" t="s">
        <v>270</v>
      </c>
    </row>
    <row r="2" spans="1:3" ht="15.75" customHeight="1">
      <c r="A2" t="s">
        <v>280</v>
      </c>
      <c r="B2" s="108" t="s">
        <v>267</v>
      </c>
      <c r="C2" s="110" t="s">
        <v>268</v>
      </c>
    </row>
    <row r="3" spans="1:3" ht="14.25">
      <c r="A3" t="s">
        <v>280</v>
      </c>
      <c r="B3" s="108" t="s">
        <v>271</v>
      </c>
      <c r="C3" s="110" t="s">
        <v>272</v>
      </c>
    </row>
    <row r="4" spans="1:3" ht="14.25">
      <c r="A4" t="s">
        <v>280</v>
      </c>
      <c r="B4" s="108" t="s">
        <v>273</v>
      </c>
      <c r="C4" s="110" t="s">
        <v>274</v>
      </c>
    </row>
    <row r="5" spans="1:3" ht="14.25">
      <c r="A5" t="s">
        <v>280</v>
      </c>
      <c r="B5" s="108" t="s">
        <v>275</v>
      </c>
      <c r="C5" s="110" t="s">
        <v>276</v>
      </c>
    </row>
    <row r="6" spans="1:3" ht="14.25">
      <c r="A6" t="s">
        <v>280</v>
      </c>
      <c r="B6" s="108" t="s">
        <v>277</v>
      </c>
      <c r="C6" s="110" t="s">
        <v>278</v>
      </c>
    </row>
    <row r="7" spans="1:3" ht="14.25">
      <c r="A7" t="s">
        <v>281</v>
      </c>
      <c r="B7" s="108" t="s">
        <v>282</v>
      </c>
      <c r="C7" s="110" t="s">
        <v>283</v>
      </c>
    </row>
    <row r="8" spans="1:3" ht="14.25">
      <c r="A8" t="s">
        <v>281</v>
      </c>
      <c r="B8" s="108" t="s">
        <v>284</v>
      </c>
      <c r="C8" s="110" t="s">
        <v>285</v>
      </c>
    </row>
    <row r="9" spans="1:3" ht="14.25">
      <c r="A9" t="s">
        <v>288</v>
      </c>
      <c r="B9" s="108" t="s">
        <v>286</v>
      </c>
      <c r="C9" s="110" t="s">
        <v>287</v>
      </c>
    </row>
    <row r="10" spans="1:3" ht="14.25">
      <c r="A10" t="s">
        <v>288</v>
      </c>
      <c r="B10" s="108" t="s">
        <v>289</v>
      </c>
      <c r="C10" s="110" t="s">
        <v>290</v>
      </c>
    </row>
    <row r="11" spans="1:3" ht="14.25">
      <c r="A11" t="s">
        <v>288</v>
      </c>
      <c r="B11" s="108" t="s">
        <v>291</v>
      </c>
      <c r="C11" s="110" t="s">
        <v>292</v>
      </c>
    </row>
    <row r="12" spans="1:3" ht="14.25">
      <c r="A12" t="s">
        <v>288</v>
      </c>
      <c r="B12" s="108" t="s">
        <v>293</v>
      </c>
      <c r="C12" s="110" t="s">
        <v>294</v>
      </c>
    </row>
    <row r="13" spans="1:3" ht="14.25">
      <c r="A13" t="s">
        <v>288</v>
      </c>
      <c r="B13" s="108" t="s">
        <v>295</v>
      </c>
      <c r="C13" s="110" t="s">
        <v>296</v>
      </c>
    </row>
    <row r="14" spans="1:3" ht="15.75">
      <c r="A14" s="1" t="s">
        <v>299</v>
      </c>
      <c r="B14" s="108" t="s">
        <v>297</v>
      </c>
      <c r="C14" s="110" t="s">
        <v>298</v>
      </c>
    </row>
    <row r="15" spans="1:3" ht="15.75">
      <c r="A15" s="1" t="s">
        <v>299</v>
      </c>
      <c r="B15" s="108" t="s">
        <v>300</v>
      </c>
      <c r="C15" s="110" t="s">
        <v>301</v>
      </c>
    </row>
    <row r="16" spans="2:4" ht="14.25">
      <c r="B16" s="107"/>
      <c r="C16" s="111"/>
      <c r="D16" s="109"/>
    </row>
    <row r="17" ht="14.25">
      <c r="B17" s="107"/>
    </row>
  </sheetData>
  <autoFilter ref="A1:C15"/>
  <hyperlinks>
    <hyperlink ref="C2" r:id="rId1" display="E201757"/>
    <hyperlink ref="C3" r:id="rId2" display="E104091"/>
    <hyperlink ref="C4" r:id="rId3" display="E152187"/>
    <hyperlink ref="C5" r:id="rId4" display="E158025"/>
    <hyperlink ref="C6" r:id="rId5" display="E172395"/>
    <hyperlink ref="C7" r:id="rId6" display="E200154"/>
    <hyperlink ref="C8" r:id="rId7" display="E76517"/>
    <hyperlink ref="C9" r:id="rId8" display="E17385"/>
    <hyperlink ref="C10" r:id="rId9" display="E175868"/>
    <hyperlink ref="C11" r:id="rId10" display="E165111"/>
    <hyperlink ref="C13" r:id="rId11" display="E105147"/>
    <hyperlink ref="C12" r:id="rId12" display="E34833"/>
    <hyperlink ref="C14" r:id="rId13" display="E41938"/>
    <hyperlink ref="C15" r:id="rId14" display="E70062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O11"/>
  <sheetViews>
    <sheetView workbookViewId="0" topLeftCell="A1">
      <selection activeCell="F10" sqref="F10"/>
    </sheetView>
  </sheetViews>
  <sheetFormatPr defaultColWidth="9.00390625" defaultRowHeight="14.25"/>
  <cols>
    <col min="1" max="1" width="4.875" style="0" customWidth="1"/>
    <col min="2" max="2" width="9.375" style="0" customWidth="1"/>
    <col min="3" max="3" width="8.50390625" style="0" customWidth="1"/>
    <col min="4" max="4" width="8.375" style="0" customWidth="1"/>
    <col min="5" max="5" width="15.625" style="0" customWidth="1"/>
    <col min="6" max="6" width="6.25390625" style="0" customWidth="1"/>
    <col min="7" max="7" width="9.875" style="0" customWidth="1"/>
    <col min="8" max="8" width="9.375" style="0" customWidth="1"/>
    <col min="11" max="11" width="11.00390625" style="0" customWidth="1"/>
    <col min="12" max="12" width="9.50390625" style="0" customWidth="1"/>
    <col min="13" max="14" width="4.625" style="0" customWidth="1"/>
    <col min="15" max="15" width="5.375" style="0" customWidth="1"/>
  </cols>
  <sheetData>
    <row r="1" spans="1:15" ht="15.75">
      <c r="A1" t="s">
        <v>302</v>
      </c>
      <c r="B1" t="s">
        <v>147</v>
      </c>
      <c r="C1" t="s">
        <v>1</v>
      </c>
      <c r="D1" t="s">
        <v>0</v>
      </c>
      <c r="E1" t="s">
        <v>303</v>
      </c>
      <c r="F1" t="s">
        <v>265</v>
      </c>
      <c r="G1" t="s">
        <v>304</v>
      </c>
      <c r="H1" t="s">
        <v>306</v>
      </c>
      <c r="I1" t="s">
        <v>305</v>
      </c>
      <c r="J1" t="s">
        <v>110</v>
      </c>
      <c r="K1" t="s">
        <v>307</v>
      </c>
      <c r="L1" t="s">
        <v>308</v>
      </c>
      <c r="M1" t="s">
        <v>381</v>
      </c>
      <c r="N1" s="1"/>
      <c r="O1" s="1"/>
    </row>
    <row r="2" spans="1:13" ht="15.75">
      <c r="A2">
        <v>1</v>
      </c>
      <c r="B2" s="1" t="s">
        <v>309</v>
      </c>
      <c r="C2" s="1" t="s">
        <v>310</v>
      </c>
      <c r="D2" s="1" t="s">
        <v>311</v>
      </c>
      <c r="E2" t="s">
        <v>312</v>
      </c>
      <c r="F2">
        <v>30</v>
      </c>
      <c r="I2" s="112">
        <v>39245</v>
      </c>
      <c r="J2" t="s">
        <v>313</v>
      </c>
      <c r="M2" s="1" t="s">
        <v>383</v>
      </c>
    </row>
    <row r="3" spans="1:13" ht="15.75">
      <c r="A3">
        <v>2</v>
      </c>
      <c r="B3" s="1" t="s">
        <v>309</v>
      </c>
      <c r="C3" s="1" t="s">
        <v>315</v>
      </c>
      <c r="D3" s="1" t="s">
        <v>318</v>
      </c>
      <c r="E3" s="1" t="s">
        <v>319</v>
      </c>
      <c r="F3" s="1">
        <v>10</v>
      </c>
      <c r="I3" s="112">
        <v>39245</v>
      </c>
      <c r="J3" t="s">
        <v>313</v>
      </c>
      <c r="K3" s="1" t="s">
        <v>314</v>
      </c>
      <c r="L3" s="1" t="s">
        <v>266</v>
      </c>
      <c r="M3" s="183" t="s">
        <v>382</v>
      </c>
    </row>
    <row r="4" spans="1:13" ht="15.75">
      <c r="A4">
        <v>3</v>
      </c>
      <c r="B4" s="1" t="s">
        <v>316</v>
      </c>
      <c r="C4" s="1" t="s">
        <v>315</v>
      </c>
      <c r="E4" s="1" t="s">
        <v>320</v>
      </c>
      <c r="F4" s="1">
        <v>10</v>
      </c>
      <c r="I4" s="112">
        <v>39245</v>
      </c>
      <c r="J4" t="s">
        <v>313</v>
      </c>
      <c r="K4" s="1" t="s">
        <v>314</v>
      </c>
      <c r="L4" s="1" t="s">
        <v>317</v>
      </c>
      <c r="M4" s="183" t="s">
        <v>382</v>
      </c>
    </row>
    <row r="5" spans="1:6" ht="15.75">
      <c r="A5">
        <v>4</v>
      </c>
      <c r="B5" s="183" t="s">
        <v>378</v>
      </c>
      <c r="C5" s="1" t="s">
        <v>379</v>
      </c>
      <c r="D5" s="1" t="s">
        <v>380</v>
      </c>
      <c r="F5" s="1">
        <v>10</v>
      </c>
    </row>
    <row r="6" spans="1:7" ht="15.75">
      <c r="A6">
        <v>5</v>
      </c>
      <c r="B6" t="s">
        <v>391</v>
      </c>
      <c r="C6" s="1" t="s">
        <v>392</v>
      </c>
      <c r="E6" s="1" t="s">
        <v>393</v>
      </c>
      <c r="F6" s="1">
        <v>24</v>
      </c>
      <c r="G6" s="112">
        <v>39247</v>
      </c>
    </row>
    <row r="7" spans="1:9" ht="15.75">
      <c r="A7">
        <v>6</v>
      </c>
      <c r="B7" s="1" t="s">
        <v>438</v>
      </c>
      <c r="C7" s="1" t="s">
        <v>436</v>
      </c>
      <c r="D7" s="1" t="s">
        <v>437</v>
      </c>
      <c r="E7" t="s">
        <v>434</v>
      </c>
      <c r="F7" s="1">
        <v>20</v>
      </c>
      <c r="G7" s="112">
        <v>39249</v>
      </c>
      <c r="I7" s="112">
        <v>39252</v>
      </c>
    </row>
    <row r="8" spans="1:7" ht="15.75">
      <c r="A8">
        <v>7</v>
      </c>
      <c r="B8" s="1" t="s">
        <v>309</v>
      </c>
      <c r="C8" s="1" t="s">
        <v>436</v>
      </c>
      <c r="D8" s="1" t="s">
        <v>435</v>
      </c>
      <c r="E8" s="1" t="s">
        <v>435</v>
      </c>
      <c r="F8" s="1">
        <v>20</v>
      </c>
      <c r="G8" s="112">
        <v>39249</v>
      </c>
    </row>
    <row r="9" spans="1:7" ht="15.75">
      <c r="A9">
        <v>8</v>
      </c>
      <c r="E9" s="1" t="s">
        <v>439</v>
      </c>
      <c r="F9" s="1">
        <v>100</v>
      </c>
      <c r="G9" s="112">
        <v>39249</v>
      </c>
    </row>
    <row r="10" ht="14.25">
      <c r="A10">
        <v>9</v>
      </c>
    </row>
    <row r="11" ht="14.25">
      <c r="A11">
        <v>10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I22"/>
  <sheetViews>
    <sheetView workbookViewId="0" topLeftCell="A1">
      <selection activeCell="I19" sqref="I19"/>
    </sheetView>
  </sheetViews>
  <sheetFormatPr defaultColWidth="9.00390625" defaultRowHeight="14.25"/>
  <cols>
    <col min="1" max="1" width="7.375" style="0" customWidth="1"/>
    <col min="2" max="2" width="8.375" style="0" customWidth="1"/>
    <col min="3" max="3" width="5.75390625" style="0" customWidth="1"/>
  </cols>
  <sheetData>
    <row r="1" spans="1:6" ht="15.75">
      <c r="A1" s="1" t="s">
        <v>224</v>
      </c>
      <c r="B1">
        <v>2510</v>
      </c>
      <c r="C1" s="1" t="s">
        <v>225</v>
      </c>
      <c r="D1" s="1" t="s">
        <v>239</v>
      </c>
      <c r="E1" s="1" t="s">
        <v>226</v>
      </c>
      <c r="F1" s="1" t="s">
        <v>227</v>
      </c>
    </row>
    <row r="2" spans="1:5" ht="15.75">
      <c r="A2" s="1" t="s">
        <v>228</v>
      </c>
      <c r="B2">
        <v>0.11</v>
      </c>
      <c r="C2" s="1" t="s">
        <v>229</v>
      </c>
      <c r="D2">
        <v>2.584</v>
      </c>
      <c r="E2" s="1" t="s">
        <v>230</v>
      </c>
    </row>
    <row r="3" spans="1:5" ht="15.75">
      <c r="A3" s="1" t="s">
        <v>231</v>
      </c>
      <c r="B3">
        <v>50</v>
      </c>
      <c r="C3" s="1" t="s">
        <v>232</v>
      </c>
      <c r="D3">
        <v>9.6</v>
      </c>
      <c r="E3" s="1" t="s">
        <v>233</v>
      </c>
    </row>
    <row r="4" spans="1:6" ht="15.75">
      <c r="A4" s="1"/>
      <c r="B4" s="1" t="s">
        <v>234</v>
      </c>
      <c r="C4" s="1" t="s">
        <v>235</v>
      </c>
      <c r="D4" s="1" t="s">
        <v>236</v>
      </c>
      <c r="E4" s="1" t="s">
        <v>237</v>
      </c>
      <c r="F4" s="1" t="s">
        <v>238</v>
      </c>
    </row>
    <row r="5" spans="2:6" ht="14.25">
      <c r="B5">
        <f aca="true" t="shared" si="0" ref="B5:B22">ROUND(C5*4.44*F*T*SC*0.0001,2)</f>
        <v>143.99</v>
      </c>
      <c r="C5">
        <v>1</v>
      </c>
      <c r="D5">
        <v>6</v>
      </c>
      <c r="E5">
        <f aca="true" t="shared" si="1" ref="E5:E20">ROUND(D5*0.001*T/LC,3)</f>
        <v>1.569</v>
      </c>
      <c r="F5">
        <f aca="true" t="shared" si="2" ref="F5:F17">C5*10000/(1.256*E5)</f>
        <v>5074.431765130941</v>
      </c>
    </row>
    <row r="6" spans="2:6" ht="14.25">
      <c r="B6">
        <f t="shared" si="0"/>
        <v>172.78</v>
      </c>
      <c r="C6">
        <v>1.2</v>
      </c>
      <c r="D6">
        <v>8</v>
      </c>
      <c r="E6">
        <f t="shared" si="1"/>
        <v>2.092</v>
      </c>
      <c r="F6">
        <f t="shared" si="2"/>
        <v>4566.988588617846</v>
      </c>
    </row>
    <row r="7" spans="2:6" ht="14.25">
      <c r="B7">
        <f t="shared" si="0"/>
        <v>201.58</v>
      </c>
      <c r="C7">
        <v>1.4</v>
      </c>
      <c r="D7">
        <v>12.1</v>
      </c>
      <c r="E7">
        <f t="shared" si="1"/>
        <v>3.164</v>
      </c>
      <c r="F7">
        <f t="shared" si="2"/>
        <v>3522.913026323206</v>
      </c>
    </row>
    <row r="8" spans="2:6" ht="14.25">
      <c r="B8">
        <f t="shared" si="0"/>
        <v>228.94</v>
      </c>
      <c r="C8">
        <v>1.59</v>
      </c>
      <c r="D8">
        <v>21.6</v>
      </c>
      <c r="E8">
        <f t="shared" si="1"/>
        <v>5.648</v>
      </c>
      <c r="F8">
        <f t="shared" si="2"/>
        <v>2241.366088666751</v>
      </c>
    </row>
    <row r="9" spans="2:6" ht="14.25">
      <c r="B9">
        <f t="shared" si="0"/>
        <v>0</v>
      </c>
      <c r="E9">
        <f t="shared" si="1"/>
        <v>0</v>
      </c>
      <c r="F9" t="e">
        <f t="shared" si="2"/>
        <v>#DIV/0!</v>
      </c>
    </row>
    <row r="10" spans="2:9" ht="14.25">
      <c r="B10" s="11">
        <f t="shared" si="0"/>
        <v>0</v>
      </c>
      <c r="C10" s="12"/>
      <c r="D10" s="11"/>
      <c r="E10" s="11">
        <f t="shared" si="1"/>
        <v>0</v>
      </c>
      <c r="F10" t="e">
        <f t="shared" si="2"/>
        <v>#DIV/0!</v>
      </c>
      <c r="I10">
        <v>7</v>
      </c>
    </row>
    <row r="11" spans="2:6" ht="14.25">
      <c r="B11" s="4">
        <f t="shared" si="0"/>
        <v>0</v>
      </c>
      <c r="C11" s="4"/>
      <c r="D11" s="4"/>
      <c r="E11" s="4">
        <f t="shared" si="1"/>
        <v>0</v>
      </c>
      <c r="F11" t="e">
        <f t="shared" si="2"/>
        <v>#DIV/0!</v>
      </c>
    </row>
    <row r="12" spans="2:6" ht="14.25">
      <c r="B12">
        <f t="shared" si="0"/>
        <v>0</v>
      </c>
      <c r="E12">
        <f t="shared" si="1"/>
        <v>0</v>
      </c>
      <c r="F12" t="e">
        <f t="shared" si="2"/>
        <v>#DIV/0!</v>
      </c>
    </row>
    <row r="13" spans="2:6" ht="14.25">
      <c r="B13">
        <f t="shared" si="0"/>
        <v>0</v>
      </c>
      <c r="E13">
        <f t="shared" si="1"/>
        <v>0</v>
      </c>
      <c r="F13" t="e">
        <f t="shared" si="2"/>
        <v>#DIV/0!</v>
      </c>
    </row>
    <row r="14" spans="2:6" ht="14.25">
      <c r="B14">
        <f t="shared" si="0"/>
        <v>0</v>
      </c>
      <c r="E14">
        <f t="shared" si="1"/>
        <v>0</v>
      </c>
      <c r="F14" t="e">
        <f t="shared" si="2"/>
        <v>#DIV/0!</v>
      </c>
    </row>
    <row r="15" spans="2:6" ht="14.25">
      <c r="B15">
        <f t="shared" si="0"/>
        <v>0</v>
      </c>
      <c r="E15">
        <f t="shared" si="1"/>
        <v>0</v>
      </c>
      <c r="F15" t="e">
        <f t="shared" si="2"/>
        <v>#DIV/0!</v>
      </c>
    </row>
    <row r="16" spans="2:6" ht="14.25">
      <c r="B16" s="3">
        <f t="shared" si="0"/>
        <v>0</v>
      </c>
      <c r="C16" s="3"/>
      <c r="D16" s="3"/>
      <c r="E16" s="3">
        <f t="shared" si="1"/>
        <v>0</v>
      </c>
      <c r="F16" t="e">
        <f t="shared" si="2"/>
        <v>#DIV/0!</v>
      </c>
    </row>
    <row r="17" spans="2:6" ht="14.25">
      <c r="B17">
        <f t="shared" si="0"/>
        <v>0</v>
      </c>
      <c r="E17">
        <f t="shared" si="1"/>
        <v>0</v>
      </c>
      <c r="F17" t="e">
        <f t="shared" si="2"/>
        <v>#DIV/0!</v>
      </c>
    </row>
    <row r="18" spans="2:6" ht="14.25">
      <c r="B18">
        <f t="shared" si="0"/>
        <v>0</v>
      </c>
      <c r="E18">
        <f t="shared" si="1"/>
        <v>0</v>
      </c>
      <c r="F18" t="e">
        <f>C18*10000/(E18)</f>
        <v>#DIV/0!</v>
      </c>
    </row>
    <row r="19" spans="2:6" ht="14.25">
      <c r="B19">
        <f t="shared" si="0"/>
        <v>0</v>
      </c>
      <c r="E19">
        <f t="shared" si="1"/>
        <v>0</v>
      </c>
      <c r="F19" t="e">
        <f>C19*10000/(E19)</f>
        <v>#DIV/0!</v>
      </c>
    </row>
    <row r="20" spans="2:6" ht="14.25">
      <c r="B20">
        <f t="shared" si="0"/>
        <v>0</v>
      </c>
      <c r="E20">
        <f t="shared" si="1"/>
        <v>0</v>
      </c>
      <c r="F20" t="e">
        <f>C20*10000/(E20)</f>
        <v>#DIV/0!</v>
      </c>
    </row>
    <row r="21" ht="14.25">
      <c r="B21">
        <f t="shared" si="0"/>
        <v>0</v>
      </c>
    </row>
    <row r="22" ht="14.25">
      <c r="B22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F24"/>
  <sheetViews>
    <sheetView workbookViewId="0" topLeftCell="A13">
      <selection activeCell="E17" sqref="E17"/>
    </sheetView>
  </sheetViews>
  <sheetFormatPr defaultColWidth="9.00390625" defaultRowHeight="14.25"/>
  <cols>
    <col min="1" max="1" width="7.375" style="0" customWidth="1"/>
    <col min="2" max="2" width="8.375" style="0" customWidth="1"/>
    <col min="3" max="3" width="5.75390625" style="0" customWidth="1"/>
  </cols>
  <sheetData>
    <row r="1" spans="1:6" ht="15.75">
      <c r="A1" s="1" t="s">
        <v>209</v>
      </c>
      <c r="B1">
        <v>1250</v>
      </c>
      <c r="C1" s="1" t="s">
        <v>210</v>
      </c>
      <c r="D1" s="1" t="s">
        <v>222</v>
      </c>
      <c r="E1" s="1" t="s">
        <v>223</v>
      </c>
      <c r="F1" s="1"/>
    </row>
    <row r="2" spans="1:5" ht="15.75">
      <c r="A2" s="1" t="s">
        <v>211</v>
      </c>
      <c r="C2" s="1" t="s">
        <v>212</v>
      </c>
      <c r="D2">
        <v>2.6</v>
      </c>
      <c r="E2" s="1" t="s">
        <v>213</v>
      </c>
    </row>
    <row r="3" spans="1:5" ht="15.75">
      <c r="A3" s="1" t="s">
        <v>214</v>
      </c>
      <c r="B3">
        <v>50</v>
      </c>
      <c r="C3" s="1" t="s">
        <v>215</v>
      </c>
      <c r="D3">
        <v>34</v>
      </c>
      <c r="E3" s="1" t="s">
        <v>216</v>
      </c>
    </row>
    <row r="4" spans="1:6" ht="15.75">
      <c r="A4" s="1"/>
      <c r="B4" s="1" t="s">
        <v>217</v>
      </c>
      <c r="C4" s="1" t="s">
        <v>218</v>
      </c>
      <c r="D4" s="1" t="s">
        <v>219</v>
      </c>
      <c r="E4" s="1" t="s">
        <v>220</v>
      </c>
      <c r="F4" s="1" t="s">
        <v>221</v>
      </c>
    </row>
    <row r="5" spans="2:6" ht="14.25">
      <c r="B5">
        <f aca="true" t="shared" si="0" ref="B5:B22">ROUND(C5*4.44*F*T*SC*0.0001,2)</f>
        <v>72.15</v>
      </c>
      <c r="C5">
        <v>1</v>
      </c>
      <c r="D5">
        <v>10.4</v>
      </c>
      <c r="E5">
        <f aca="true" t="shared" si="1" ref="E5:E24">ROUND(D5*0.001*T/LC,3)</f>
        <v>0.382</v>
      </c>
      <c r="F5">
        <f aca="true" t="shared" si="2" ref="F5:F17">C5*10000/(1.256*E5)</f>
        <v>20842.3650248441</v>
      </c>
    </row>
    <row r="6" spans="2:6" ht="14.25">
      <c r="B6">
        <f t="shared" si="0"/>
        <v>75.76</v>
      </c>
      <c r="C6">
        <v>1.05</v>
      </c>
      <c r="D6">
        <v>11.8</v>
      </c>
      <c r="E6">
        <f t="shared" si="1"/>
        <v>0.434</v>
      </c>
      <c r="F6">
        <f t="shared" si="2"/>
        <v>19262.379289089786</v>
      </c>
    </row>
    <row r="7" spans="2:6" ht="14.25">
      <c r="B7">
        <f t="shared" si="0"/>
        <v>79.37</v>
      </c>
      <c r="C7">
        <v>1.1</v>
      </c>
      <c r="D7">
        <v>13</v>
      </c>
      <c r="E7">
        <f t="shared" si="1"/>
        <v>0.478</v>
      </c>
      <c r="F7">
        <f t="shared" si="2"/>
        <v>18322.095781254164</v>
      </c>
    </row>
    <row r="8" spans="2:6" ht="14.25">
      <c r="B8">
        <f t="shared" si="0"/>
        <v>82.97</v>
      </c>
      <c r="C8">
        <v>1.15</v>
      </c>
      <c r="D8">
        <v>14.3</v>
      </c>
      <c r="E8">
        <f t="shared" si="1"/>
        <v>0.526</v>
      </c>
      <c r="F8">
        <f t="shared" si="2"/>
        <v>17406.940979874547</v>
      </c>
    </row>
    <row r="9" spans="2:6" ht="14.25">
      <c r="B9">
        <f t="shared" si="0"/>
        <v>86.58</v>
      </c>
      <c r="C9">
        <v>1.2</v>
      </c>
      <c r="D9">
        <v>16.3</v>
      </c>
      <c r="E9">
        <f t="shared" si="1"/>
        <v>0.599</v>
      </c>
      <c r="F9">
        <f t="shared" si="2"/>
        <v>15950.150463086035</v>
      </c>
    </row>
    <row r="10" spans="2:6" ht="14.25">
      <c r="B10" s="11">
        <f t="shared" si="0"/>
        <v>90.19</v>
      </c>
      <c r="C10">
        <v>1.25</v>
      </c>
      <c r="D10" s="11">
        <v>18.2</v>
      </c>
      <c r="E10" s="11">
        <f t="shared" si="1"/>
        <v>0.669</v>
      </c>
      <c r="F10">
        <f t="shared" si="2"/>
        <v>14876.27697961593</v>
      </c>
    </row>
    <row r="11" spans="2:6" ht="14.25">
      <c r="B11" s="4">
        <f t="shared" si="0"/>
        <v>93.8</v>
      </c>
      <c r="C11">
        <v>1.3</v>
      </c>
      <c r="D11" s="4">
        <v>20.4</v>
      </c>
      <c r="E11" s="4">
        <f t="shared" si="1"/>
        <v>0.75</v>
      </c>
      <c r="F11">
        <f t="shared" si="2"/>
        <v>13800.424628450108</v>
      </c>
    </row>
    <row r="12" spans="2:6" ht="14.25">
      <c r="B12">
        <f t="shared" si="0"/>
        <v>97.4</v>
      </c>
      <c r="C12">
        <v>1.35</v>
      </c>
      <c r="D12">
        <v>23.3</v>
      </c>
      <c r="E12">
        <f t="shared" si="1"/>
        <v>0.857</v>
      </c>
      <c r="F12">
        <f t="shared" si="2"/>
        <v>12541.899233736409</v>
      </c>
    </row>
    <row r="13" spans="2:6" ht="14.25">
      <c r="B13">
        <f t="shared" si="0"/>
        <v>101.01</v>
      </c>
      <c r="C13">
        <v>1.4</v>
      </c>
      <c r="D13">
        <v>27</v>
      </c>
      <c r="E13">
        <f t="shared" si="1"/>
        <v>0.993</v>
      </c>
      <c r="F13">
        <f t="shared" si="2"/>
        <v>11225.072321537386</v>
      </c>
    </row>
    <row r="14" spans="2:6" ht="14.25">
      <c r="B14">
        <f t="shared" si="0"/>
        <v>104.62</v>
      </c>
      <c r="C14">
        <v>1.45</v>
      </c>
      <c r="D14">
        <v>31</v>
      </c>
      <c r="E14">
        <f t="shared" si="1"/>
        <v>1.14</v>
      </c>
      <c r="F14">
        <f t="shared" si="2"/>
        <v>10126.829813386972</v>
      </c>
    </row>
    <row r="15" spans="2:6" ht="14.25">
      <c r="B15">
        <f t="shared" si="0"/>
        <v>108.23</v>
      </c>
      <c r="C15">
        <v>1.5</v>
      </c>
      <c r="D15">
        <v>38</v>
      </c>
      <c r="E15">
        <f t="shared" si="1"/>
        <v>1.397</v>
      </c>
      <c r="F15">
        <f t="shared" si="2"/>
        <v>8548.801116131473</v>
      </c>
    </row>
    <row r="16" spans="2:6" ht="14.25">
      <c r="B16" s="3">
        <f t="shared" si="0"/>
        <v>111.83</v>
      </c>
      <c r="C16">
        <v>1.55</v>
      </c>
      <c r="D16" s="3">
        <v>47.4</v>
      </c>
      <c r="E16" s="3">
        <f t="shared" si="1"/>
        <v>1.743</v>
      </c>
      <c r="F16">
        <f t="shared" si="2"/>
        <v>7080.186076425812</v>
      </c>
    </row>
    <row r="17" spans="2:6" ht="14.25">
      <c r="B17">
        <f t="shared" si="0"/>
        <v>115.44</v>
      </c>
      <c r="C17">
        <v>1.6</v>
      </c>
      <c r="D17">
        <v>61.2</v>
      </c>
      <c r="E17">
        <f t="shared" si="1"/>
        <v>2.25</v>
      </c>
      <c r="F17">
        <f t="shared" si="2"/>
        <v>5661.712668082095</v>
      </c>
    </row>
    <row r="18" spans="2:6" ht="14.25">
      <c r="B18">
        <f t="shared" si="0"/>
        <v>119.05</v>
      </c>
      <c r="C18">
        <v>1.65</v>
      </c>
      <c r="D18">
        <v>79</v>
      </c>
      <c r="E18">
        <f t="shared" si="1"/>
        <v>2.904</v>
      </c>
      <c r="F18">
        <f aca="true" t="shared" si="3" ref="F18:F24">C18*10000/(E18)</f>
        <v>5681.818181818182</v>
      </c>
    </row>
    <row r="19" spans="2:6" ht="14.25">
      <c r="B19">
        <f t="shared" si="0"/>
        <v>122.66</v>
      </c>
      <c r="C19">
        <v>1.7</v>
      </c>
      <c r="D19">
        <v>100</v>
      </c>
      <c r="E19">
        <f t="shared" si="1"/>
        <v>3.676</v>
      </c>
      <c r="F19">
        <f t="shared" si="3"/>
        <v>4624.591947769314</v>
      </c>
    </row>
    <row r="20" spans="2:6" ht="14.25">
      <c r="B20">
        <f t="shared" si="0"/>
        <v>126.26</v>
      </c>
      <c r="C20">
        <v>1.75</v>
      </c>
      <c r="D20">
        <v>124</v>
      </c>
      <c r="E20">
        <f t="shared" si="1"/>
        <v>4.559</v>
      </c>
      <c r="F20">
        <f t="shared" si="3"/>
        <v>3838.5610879578853</v>
      </c>
    </row>
    <row r="21" spans="2:6" ht="14.25">
      <c r="B21">
        <f t="shared" si="0"/>
        <v>129.87</v>
      </c>
      <c r="C21">
        <v>1.8</v>
      </c>
      <c r="D21">
        <v>151.4</v>
      </c>
      <c r="E21">
        <f t="shared" si="1"/>
        <v>5.566</v>
      </c>
      <c r="F21">
        <f t="shared" si="3"/>
        <v>3233.920229967661</v>
      </c>
    </row>
    <row r="22" spans="2:6" ht="14.25">
      <c r="B22">
        <f t="shared" si="0"/>
        <v>133.48</v>
      </c>
      <c r="C22">
        <v>1.85</v>
      </c>
      <c r="D22">
        <v>181.5</v>
      </c>
      <c r="E22">
        <f t="shared" si="1"/>
        <v>6.673</v>
      </c>
      <c r="F22">
        <f t="shared" si="3"/>
        <v>2772.3662520605426</v>
      </c>
    </row>
    <row r="23" spans="3:6" ht="14.25">
      <c r="C23">
        <v>1.9</v>
      </c>
      <c r="D23">
        <v>210</v>
      </c>
      <c r="E23">
        <f t="shared" si="1"/>
        <v>7.721</v>
      </c>
      <c r="F23">
        <f t="shared" si="3"/>
        <v>2460.8211371583993</v>
      </c>
    </row>
    <row r="24" spans="3:6" ht="14.25">
      <c r="C24">
        <v>1.95</v>
      </c>
      <c r="E24">
        <f t="shared" si="1"/>
        <v>0</v>
      </c>
      <c r="F24" t="e">
        <f t="shared" si="3"/>
        <v>#DIV/0!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F22"/>
  <sheetViews>
    <sheetView workbookViewId="0" topLeftCell="A1">
      <selection activeCell="G11" sqref="G11"/>
    </sheetView>
  </sheetViews>
  <sheetFormatPr defaultColWidth="9.00390625" defaultRowHeight="14.25"/>
  <cols>
    <col min="1" max="1" width="7.375" style="0" customWidth="1"/>
    <col min="2" max="2" width="8.375" style="0" customWidth="1"/>
    <col min="3" max="3" width="5.75390625" style="0" customWidth="1"/>
  </cols>
  <sheetData>
    <row r="1" spans="1:6" ht="15.75">
      <c r="A1" s="1" t="s">
        <v>189</v>
      </c>
      <c r="B1">
        <v>2350</v>
      </c>
      <c r="C1" s="1" t="s">
        <v>193</v>
      </c>
      <c r="D1" s="1" t="s">
        <v>200</v>
      </c>
      <c r="E1" s="1" t="s">
        <v>205</v>
      </c>
      <c r="F1" s="1" t="s">
        <v>201</v>
      </c>
    </row>
    <row r="2" spans="1:5" ht="15.75">
      <c r="A2" s="1" t="s">
        <v>190</v>
      </c>
      <c r="C2" s="1" t="s">
        <v>194</v>
      </c>
      <c r="D2">
        <v>1.05</v>
      </c>
      <c r="E2" s="1" t="s">
        <v>195</v>
      </c>
    </row>
    <row r="3" spans="1:5" ht="15.75">
      <c r="A3" s="1" t="s">
        <v>197</v>
      </c>
      <c r="B3">
        <v>50</v>
      </c>
      <c r="C3" s="1" t="s">
        <v>196</v>
      </c>
      <c r="D3">
        <v>34</v>
      </c>
      <c r="E3" s="1" t="s">
        <v>50</v>
      </c>
    </row>
    <row r="4" spans="1:6" ht="15.75">
      <c r="A4" s="1"/>
      <c r="B4" s="1" t="s">
        <v>191</v>
      </c>
      <c r="C4" s="1" t="s">
        <v>192</v>
      </c>
      <c r="D4" s="1" t="s">
        <v>202</v>
      </c>
      <c r="E4" s="1" t="s">
        <v>203</v>
      </c>
      <c r="F4" s="1" t="s">
        <v>204</v>
      </c>
    </row>
    <row r="5" spans="2:6" ht="14.25">
      <c r="B5">
        <f>ROUND(C5*4.44*F*T*SC*0.0001,2)</f>
        <v>70.94</v>
      </c>
      <c r="C5">
        <v>1.295</v>
      </c>
      <c r="D5">
        <v>6.2</v>
      </c>
      <c r="E5">
        <f>ROUND(D5*0.001*T/LC,3)</f>
        <v>0.429</v>
      </c>
      <c r="F5">
        <f>C5*10000/(1.256*E5)</f>
        <v>24033.821804522442</v>
      </c>
    </row>
    <row r="6" spans="2:6" ht="14.25">
      <c r="B6">
        <f aca="true" t="shared" si="0" ref="B6:B22">ROUND(C6*4.44*F*T*SC*0.0001,2)</f>
        <v>78</v>
      </c>
      <c r="C6">
        <v>1.424</v>
      </c>
      <c r="D6">
        <v>8.8</v>
      </c>
      <c r="E6">
        <f>ROUND(D6*0.001*T/LC,3)</f>
        <v>0.608</v>
      </c>
      <c r="F6">
        <f aca="true" t="shared" si="1" ref="F6:F17">C6*10000/(1.256*E6)</f>
        <v>18647.33489775394</v>
      </c>
    </row>
    <row r="7" spans="2:6" ht="14.25">
      <c r="B7">
        <f t="shared" si="0"/>
        <v>84.91</v>
      </c>
      <c r="C7">
        <v>1.55</v>
      </c>
      <c r="D7">
        <v>11.8</v>
      </c>
      <c r="E7">
        <f aca="true" t="shared" si="2" ref="E7:E20">ROUND(D7*0.001*T/LC,3)</f>
        <v>0.816</v>
      </c>
      <c r="F7">
        <f t="shared" si="1"/>
        <v>15123.485700012488</v>
      </c>
    </row>
    <row r="8" spans="2:6" ht="14.25">
      <c r="B8">
        <f t="shared" si="0"/>
        <v>88.69</v>
      </c>
      <c r="C8">
        <v>1.619</v>
      </c>
      <c r="D8">
        <v>13.5</v>
      </c>
      <c r="E8">
        <f t="shared" si="2"/>
        <v>0.933</v>
      </c>
      <c r="F8">
        <f t="shared" si="1"/>
        <v>13815.78498235266</v>
      </c>
    </row>
    <row r="9" spans="2:6" ht="14.25">
      <c r="B9">
        <f t="shared" si="0"/>
        <v>92.25</v>
      </c>
      <c r="C9">
        <v>1.684</v>
      </c>
      <c r="D9">
        <v>15.4</v>
      </c>
      <c r="E9">
        <f t="shared" si="2"/>
        <v>1.064</v>
      </c>
      <c r="F9">
        <f t="shared" si="1"/>
        <v>12601.16852641157</v>
      </c>
    </row>
    <row r="10" spans="2:6" ht="14.25">
      <c r="B10" s="11">
        <f t="shared" si="0"/>
        <v>95.75</v>
      </c>
      <c r="C10" s="12">
        <v>1.748</v>
      </c>
      <c r="D10" s="11">
        <v>17.5</v>
      </c>
      <c r="E10" s="11">
        <f t="shared" si="2"/>
        <v>1.21</v>
      </c>
      <c r="F10">
        <f t="shared" si="1"/>
        <v>11501.816076222562</v>
      </c>
    </row>
    <row r="11" spans="2:6" ht="14.25">
      <c r="B11" s="4">
        <f t="shared" si="0"/>
        <v>99.31</v>
      </c>
      <c r="C11" s="4">
        <v>1.813</v>
      </c>
      <c r="D11" s="4">
        <v>20.8</v>
      </c>
      <c r="E11" s="4">
        <f t="shared" si="2"/>
        <v>1.438</v>
      </c>
      <c r="F11">
        <f t="shared" si="1"/>
        <v>10038.048244642683</v>
      </c>
    </row>
    <row r="12" spans="2:6" ht="14.25">
      <c r="B12">
        <f t="shared" si="0"/>
        <v>102.87</v>
      </c>
      <c r="C12">
        <v>1.878</v>
      </c>
      <c r="D12">
        <v>24.4</v>
      </c>
      <c r="E12">
        <f t="shared" si="2"/>
        <v>1.686</v>
      </c>
      <c r="F12">
        <f t="shared" si="1"/>
        <v>8868.463404129927</v>
      </c>
    </row>
    <row r="13" spans="2:6" ht="14.25">
      <c r="B13">
        <f t="shared" si="0"/>
        <v>105.34</v>
      </c>
      <c r="C13">
        <v>1.923</v>
      </c>
      <c r="D13">
        <v>28.1</v>
      </c>
      <c r="E13">
        <f t="shared" si="2"/>
        <v>1.942</v>
      </c>
      <c r="F13">
        <f t="shared" si="1"/>
        <v>7883.887515005215</v>
      </c>
    </row>
    <row r="14" spans="2:6" ht="14.25">
      <c r="B14">
        <f t="shared" si="0"/>
        <v>109.56</v>
      </c>
      <c r="C14">
        <v>2</v>
      </c>
      <c r="D14">
        <v>33.8</v>
      </c>
      <c r="E14">
        <f t="shared" si="2"/>
        <v>2.336</v>
      </c>
      <c r="F14">
        <f t="shared" si="1"/>
        <v>6816.595410522643</v>
      </c>
    </row>
    <row r="15" spans="2:6" ht="14.25">
      <c r="B15">
        <f t="shared" si="0"/>
        <v>113.5</v>
      </c>
      <c r="C15">
        <v>2.072</v>
      </c>
      <c r="D15">
        <v>38.5</v>
      </c>
      <c r="E15">
        <f t="shared" si="2"/>
        <v>2.661</v>
      </c>
      <c r="F15">
        <f t="shared" si="1"/>
        <v>6199.479626690794</v>
      </c>
    </row>
    <row r="16" spans="2:6" ht="14.25">
      <c r="B16" s="3">
        <f t="shared" si="0"/>
        <v>120.62</v>
      </c>
      <c r="C16" s="3">
        <v>2.202</v>
      </c>
      <c r="D16" s="3">
        <v>54</v>
      </c>
      <c r="E16" s="3">
        <f t="shared" si="2"/>
        <v>3.732</v>
      </c>
      <c r="F16">
        <f t="shared" si="1"/>
        <v>4697.708235197739</v>
      </c>
    </row>
    <row r="17" spans="2:6" ht="14.25">
      <c r="B17">
        <f t="shared" si="0"/>
        <v>127.69</v>
      </c>
      <c r="C17">
        <v>2.331</v>
      </c>
      <c r="D17">
        <v>76</v>
      </c>
      <c r="E17">
        <f t="shared" si="2"/>
        <v>5.253</v>
      </c>
      <c r="F17">
        <f t="shared" si="1"/>
        <v>3533.012982572288</v>
      </c>
    </row>
    <row r="18" spans="2:6" ht="14.25">
      <c r="B18">
        <f t="shared" si="0"/>
        <v>0</v>
      </c>
      <c r="E18">
        <f t="shared" si="2"/>
        <v>0</v>
      </c>
      <c r="F18" t="e">
        <f>C18*10000/(E18)</f>
        <v>#DIV/0!</v>
      </c>
    </row>
    <row r="19" spans="2:6" ht="14.25">
      <c r="B19">
        <f t="shared" si="0"/>
        <v>0</v>
      </c>
      <c r="E19">
        <f t="shared" si="2"/>
        <v>0</v>
      </c>
      <c r="F19" t="e">
        <f>C19*10000/(E19)</f>
        <v>#DIV/0!</v>
      </c>
    </row>
    <row r="20" spans="2:6" ht="14.25">
      <c r="B20">
        <f t="shared" si="0"/>
        <v>0</v>
      </c>
      <c r="E20">
        <f t="shared" si="2"/>
        <v>0</v>
      </c>
      <c r="F20" t="e">
        <f>C20*10000/(E20)</f>
        <v>#DIV/0!</v>
      </c>
    </row>
    <row r="21" ht="14.25">
      <c r="B21">
        <f t="shared" si="0"/>
        <v>0</v>
      </c>
    </row>
    <row r="22" ht="14.25">
      <c r="B22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2007-06-19T14:21:28Z</cp:lastPrinted>
  <dcterms:created xsi:type="dcterms:W3CDTF">1996-12-17T01:32:42Z</dcterms:created>
  <dcterms:modified xsi:type="dcterms:W3CDTF">2007-08-26T13:15:44Z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