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70" windowWidth="12120" windowHeight="8865" activeTab="0"/>
  </bookViews>
  <sheets>
    <sheet name="Flyback" sheetId="1" r:id="rId1"/>
    <sheet name="FPS Line-up" sheetId="2" r:id="rId2"/>
  </sheets>
  <definedNames>
    <definedName name="Ae">'Flyback'!$C$46</definedName>
    <definedName name="AL">'Flyback'!$C$61</definedName>
    <definedName name="Bmax">'Flyback'!$C$43</definedName>
    <definedName name="Bsat">'Flyback'!$C$44</definedName>
    <definedName name="CB">'Flyback'!#REF!*10^-9</definedName>
    <definedName name="Cdc">'Flyback'!$C$23/1000000</definedName>
    <definedName name="CF">'Flyback'!#REF!*10^-9</definedName>
    <definedName name="Co_1">'Flyback'!$C$94</definedName>
    <definedName name="Co_2">'Flyback'!$C$95</definedName>
    <definedName name="Co_3">'Flyback'!$C$96</definedName>
    <definedName name="Co_4">'Flyback'!$C$97</definedName>
    <definedName name="Co_5">'Flyback'!$C$98</definedName>
    <definedName name="Co_6">'Flyback'!$C$99</definedName>
    <definedName name="Dmax">'Flyback'!$C$29</definedName>
    <definedName name="Eff">'Flyback'!$C$19/100</definedName>
    <definedName name="ffi">'Flyback'!$C$195</definedName>
    <definedName name="ffp">'Flyback'!$C$197</definedName>
    <definedName name="ffz">'Flyback'!$C$196</definedName>
    <definedName name="fi">'Flyback'!$C$126</definedName>
    <definedName name="fL">'Flyback'!$C$9</definedName>
    <definedName name="fp">'Flyback'!$C$128</definedName>
    <definedName name="fp_1">'Flyback'!$C$116</definedName>
    <definedName name="fs">'Flyback'!$C$34*1000</definedName>
    <definedName name="fz">'Flyback'!$C$127</definedName>
    <definedName name="fz_1">'Flyback'!$C$114</definedName>
    <definedName name="fzr">'Flyback'!$C$115</definedName>
    <definedName name="Ilim">'Flyback'!$C$42</definedName>
    <definedName name="Io_1">'Flyback'!$E$12</definedName>
    <definedName name="Io_2">'Flyback'!$E$13</definedName>
    <definedName name="Io_3">'Flyback'!$E$14</definedName>
    <definedName name="Io_4">'Flyback'!$E$15</definedName>
    <definedName name="Io_5">'Flyback'!$E$16</definedName>
    <definedName name="Io_6">'Flyback'!$E$17</definedName>
    <definedName name="Io1rms">'Flyback'!$G$69</definedName>
    <definedName name="Io2rms">'Flyback'!$G$70</definedName>
    <definedName name="Io3rms">'Flyback'!$G$71</definedName>
    <definedName name="Io4rms">'Flyback'!$G$72</definedName>
    <definedName name="Io5rms">'Flyback'!$G$73</definedName>
    <definedName name="Io6rms">'Flyback'!$G$74</definedName>
    <definedName name="Ipk">'Flyback'!$C$37</definedName>
    <definedName name="Irms">'Flyback'!$C$38</definedName>
    <definedName name="K_1">'Flyback'!$C$113</definedName>
    <definedName name="KL1">'Flyback'!$I$12/100</definedName>
    <definedName name="KL2">'Flyback'!$I$13/100</definedName>
    <definedName name="KL3">'Flyback'!$I$14/100</definedName>
    <definedName name="KL4">'Flyback'!$I$15/100</definedName>
    <definedName name="KL5">'Flyback'!$I$16/100</definedName>
    <definedName name="KL6">'Flyback'!$I$17/100</definedName>
    <definedName name="KRF">'Flyback'!$C$35</definedName>
    <definedName name="Llk">'Flyback'!$C$102</definedName>
    <definedName name="Lm">'Flyback'!$C$36/1000000</definedName>
    <definedName name="Nc">'Flyback'!$I$52</definedName>
    <definedName name="Np">'Flyback'!$I$59</definedName>
    <definedName name="Ns1">'Flyback'!$I$53</definedName>
    <definedName name="Ns2">'Flyback'!$I$54</definedName>
    <definedName name="Ns3">'Flyback'!$I$55</definedName>
    <definedName name="Ns4">'Flyback'!$I$56</definedName>
    <definedName name="Ns5">'Flyback'!$I$57</definedName>
    <definedName name="Ns6">'Flyback'!$I$58</definedName>
    <definedName name="Pin">'Flyback'!$C$20</definedName>
    <definedName name="Po">'Flyback'!$C$18</definedName>
    <definedName name="_xlnm.Print_Area" localSheetId="1">'FPS Line-up'!$A$1:$R$86</definedName>
    <definedName name="R_1">'Flyback'!#REF!*1000</definedName>
    <definedName name="Rc_1">'Flyback'!$E$94</definedName>
    <definedName name="Rc_2">'Flyback'!$E$95</definedName>
    <definedName name="Rc_3">'Flyback'!$E$96</definedName>
    <definedName name="Rc_4">'Flyback'!$E$97</definedName>
    <definedName name="Rc_5">'Flyback'!$E$98</definedName>
    <definedName name="Rc_6">'Flyback'!$E$99</definedName>
    <definedName name="RD">'Flyback'!#REF!*1000</definedName>
    <definedName name="Rsn">'Flyback'!$C$105*1000</definedName>
    <definedName name="V_line_max">'Flyback'!$C$8</definedName>
    <definedName name="V_line_min">'Flyback'!$C$7</definedName>
    <definedName name="Vcc">'Flyback'!$C$52</definedName>
    <definedName name="Vdc_ccm">'Flyback'!$C$39</definedName>
    <definedName name="Vdc_min">'Flyback'!$C$25</definedName>
    <definedName name="VF1">'Flyback'!$E$53</definedName>
    <definedName name="VF2">'Flyback'!$E$54</definedName>
    <definedName name="VF3">'Flyback'!$E$55</definedName>
    <definedName name="VF4">'Flyback'!$E$56</definedName>
    <definedName name="VF5">'Flyback'!$E$57</definedName>
    <definedName name="VF6">'Flyback'!$E$58</definedName>
    <definedName name="VFC">'Flyback'!$E$52</definedName>
    <definedName name="Vo1">'Flyback'!$C$12</definedName>
    <definedName name="Vo2">'Flyback'!$C$13</definedName>
    <definedName name="Vo3">'Flyback'!$C$14</definedName>
    <definedName name="Vo4">'Flyback'!$C$15</definedName>
    <definedName name="Vo5">'Flyback'!$C$16</definedName>
    <definedName name="Vo6">'Flyback'!$C$17</definedName>
    <definedName name="VRO">'Flyback'!$C$31</definedName>
    <definedName name="Vsn">'Flyback'!$C$103</definedName>
  </definedNames>
  <calcPr fullCalcOnLoad="1"/>
</workbook>
</file>

<file path=xl/comments1.xml><?xml version="1.0" encoding="utf-8"?>
<comments xmlns="http://schemas.openxmlformats.org/spreadsheetml/2006/main">
  <authors>
    <author>hangseok</author>
  </authors>
  <commentList>
    <comment ref="C29" authorId="0">
      <text>
        <r>
          <rPr>
            <b/>
            <sz val="9"/>
            <rFont val="굴림"/>
            <family val="2"/>
          </rPr>
          <t>For CCM operation, it is recommended to set Dmax &lt; 0.5 to avoid subharmonic oscillation</t>
        </r>
      </text>
    </comment>
    <comment ref="C30" authorId="0">
      <text>
        <r>
          <rPr>
            <b/>
            <sz val="9"/>
            <rFont val="굴림"/>
            <family val="2"/>
          </rPr>
          <t>When ignoring voltage spike</t>
        </r>
      </text>
    </comment>
    <comment ref="C23" authorId="0">
      <text>
        <r>
          <rPr>
            <b/>
            <sz val="9"/>
            <rFont val="굴림"/>
            <family val="2"/>
          </rPr>
          <t xml:space="preserve">2-3uF per 1 watt </t>
        </r>
      </text>
    </comment>
  </commentList>
</comments>
</file>

<file path=xl/sharedStrings.xml><?xml version="1.0" encoding="utf-8"?>
<sst xmlns="http://schemas.openxmlformats.org/spreadsheetml/2006/main" count="1000" uniqueCount="398">
  <si>
    <t>is the input parameters</t>
  </si>
  <si>
    <t>Blue cell</t>
  </si>
  <si>
    <t>Red cell</t>
  </si>
  <si>
    <t>V</t>
  </si>
  <si>
    <t>Hz</t>
  </si>
  <si>
    <t>W</t>
  </si>
  <si>
    <t>%</t>
  </si>
  <si>
    <t>DC link voltage ripple =</t>
  </si>
  <si>
    <t>Minimum DC link voltage =</t>
  </si>
  <si>
    <t>V</t>
  </si>
  <si>
    <t>V</t>
  </si>
  <si>
    <t>uH</t>
  </si>
  <si>
    <t>is the output parameters</t>
  </si>
  <si>
    <t>uF</t>
  </si>
  <si>
    <t xml:space="preserve">Maximum duty ratio </t>
  </si>
  <si>
    <t>Maximum peak drain current =</t>
  </si>
  <si>
    <t>Output voltage reflected to primary =</t>
  </si>
  <si>
    <t>DC link capacitor</t>
  </si>
  <si>
    <t xml:space="preserve">Estimated AP value of core = </t>
  </si>
  <si>
    <r>
      <t>mm</t>
    </r>
    <r>
      <rPr>
        <b/>
        <vertAlign val="superscript"/>
        <sz val="11"/>
        <color indexed="60"/>
        <rFont val="돋움"/>
        <family val="2"/>
      </rPr>
      <t>4</t>
    </r>
  </si>
  <si>
    <t>2nd output</t>
  </si>
  <si>
    <t>3rd output</t>
  </si>
  <si>
    <t>4th output</t>
  </si>
  <si>
    <t>5th output</t>
  </si>
  <si>
    <t>6th output</t>
  </si>
  <si>
    <t>A</t>
  </si>
  <si>
    <t>A</t>
  </si>
  <si>
    <t>A</t>
  </si>
  <si>
    <t>W</t>
  </si>
  <si>
    <t>W</t>
  </si>
  <si>
    <t>W</t>
  </si>
  <si>
    <t>%</t>
  </si>
  <si>
    <t>%</t>
  </si>
  <si>
    <t>%</t>
  </si>
  <si>
    <t>1. Define specifications of the SMPS</t>
  </si>
  <si>
    <t>1st output for feedback</t>
  </si>
  <si>
    <t>2. Calculate the minimum input voltage</t>
  </si>
  <si>
    <t xml:space="preserve">3. Determine Maximum duty ratio (Dmax) </t>
  </si>
  <si>
    <t>Switching frequency of FPS (kHz)</t>
  </si>
  <si>
    <t>kHz</t>
  </si>
  <si>
    <t>Ripple factor</t>
  </si>
  <si>
    <r>
      <t>mm</t>
    </r>
    <r>
      <rPr>
        <vertAlign val="superscript"/>
        <sz val="11"/>
        <color indexed="12"/>
        <rFont val="돋움"/>
        <family val="3"/>
      </rPr>
      <t>2</t>
    </r>
  </si>
  <si>
    <t>Minimum primary turns =</t>
  </si>
  <si>
    <t>5. Determine proper core and minimum primary turns</t>
  </si>
  <si>
    <t>Current limit of FPS</t>
  </si>
  <si>
    <t>T</t>
  </si>
  <si>
    <t>V</t>
  </si>
  <si>
    <t>6. Determine the numner of turns for each outputs</t>
  </si>
  <si>
    <t>Vo</t>
  </si>
  <si>
    <t>VF</t>
  </si>
  <si>
    <t>=&gt;</t>
  </si>
  <si>
    <t>T</t>
  </si>
  <si>
    <t># of turns</t>
  </si>
  <si>
    <t xml:space="preserve">  Primary turns =</t>
  </si>
  <si>
    <t>7. Determine proper wire for each output</t>
  </si>
  <si>
    <t>mm</t>
  </si>
  <si>
    <t>Diameter</t>
  </si>
  <si>
    <t>T</t>
  </si>
  <si>
    <t>mm</t>
  </si>
  <si>
    <t>T</t>
  </si>
  <si>
    <t>Parallel</t>
  </si>
  <si>
    <r>
      <t>(A/mm</t>
    </r>
    <r>
      <rPr>
        <b/>
        <vertAlign val="superscript"/>
        <sz val="11"/>
        <color indexed="12"/>
        <rFont val="돋움"/>
        <family val="2"/>
      </rPr>
      <t>2</t>
    </r>
    <r>
      <rPr>
        <b/>
        <sz val="11"/>
        <color indexed="12"/>
        <rFont val="돋움"/>
        <family val="2"/>
      </rPr>
      <t>)</t>
    </r>
  </si>
  <si>
    <t>Copper area =</t>
  </si>
  <si>
    <r>
      <t>mm</t>
    </r>
    <r>
      <rPr>
        <b/>
        <vertAlign val="superscript"/>
        <sz val="11"/>
        <color indexed="60"/>
        <rFont val="돋움"/>
        <family val="2"/>
      </rPr>
      <t>2</t>
    </r>
  </si>
  <si>
    <t>Fill factor</t>
  </si>
  <si>
    <t>Required window area</t>
  </si>
  <si>
    <t>RMS drain current</t>
  </si>
  <si>
    <t>Vcc diode</t>
  </si>
  <si>
    <t>1st output diode</t>
  </si>
  <si>
    <t>2nd output diode</t>
  </si>
  <si>
    <t>3rd output diode</t>
  </si>
  <si>
    <t>4th output diode</t>
  </si>
  <si>
    <t>5th output diode</t>
  </si>
  <si>
    <t>6th output diode</t>
  </si>
  <si>
    <t>Reverse voltage</t>
  </si>
  <si>
    <t xml:space="preserve">Irms </t>
  </si>
  <si>
    <t xml:space="preserve">9. Determine the output capacitor </t>
  </si>
  <si>
    <t>uF</t>
  </si>
  <si>
    <t>1st output capacitor</t>
  </si>
  <si>
    <t>2nd output capacitor</t>
  </si>
  <si>
    <t>3rd output capacitor</t>
  </si>
  <si>
    <t>4th output capacitor</t>
  </si>
  <si>
    <t>5th output capacitor</t>
  </si>
  <si>
    <t>6th output capacitor</t>
  </si>
  <si>
    <t>ESR</t>
  </si>
  <si>
    <t>mΩ</t>
  </si>
  <si>
    <t>ripple</t>
  </si>
  <si>
    <t>Current</t>
  </si>
  <si>
    <t>Ripple</t>
  </si>
  <si>
    <t>Voltage</t>
  </si>
  <si>
    <t>10. Design RCD snubber</t>
  </si>
  <si>
    <t>Primary side leakage inductance</t>
  </si>
  <si>
    <t>uH</t>
  </si>
  <si>
    <t>V</t>
  </si>
  <si>
    <t>%</t>
  </si>
  <si>
    <t>Snubber resistor =</t>
  </si>
  <si>
    <t>Snubber capacitor =</t>
  </si>
  <si>
    <t>nF</t>
  </si>
  <si>
    <t>W</t>
  </si>
  <si>
    <t>㏀</t>
  </si>
  <si>
    <t>11. Design Feedback control loop</t>
  </si>
  <si>
    <t>V.rms</t>
  </si>
  <si>
    <t>Hz</t>
  </si>
  <si>
    <t>Hz</t>
  </si>
  <si>
    <r>
      <t>nH/T</t>
    </r>
    <r>
      <rPr>
        <vertAlign val="superscript"/>
        <sz val="11"/>
        <rFont val="돋움"/>
        <family val="3"/>
      </rPr>
      <t>2</t>
    </r>
  </si>
  <si>
    <t>Primary winding</t>
  </si>
  <si>
    <t>Vcc (Use Vcc start voltage)</t>
  </si>
  <si>
    <t>1st output for feedback</t>
  </si>
  <si>
    <t>2nd output</t>
  </si>
  <si>
    <t>3rd output</t>
  </si>
  <si>
    <t>Vcc winding</t>
  </si>
  <si>
    <t>1st output winding</t>
  </si>
  <si>
    <t>2nd output winding</t>
  </si>
  <si>
    <t>3rd output winding</t>
  </si>
  <si>
    <t>4th output winding</t>
  </si>
  <si>
    <t>5th output winding</t>
  </si>
  <si>
    <t>6th output winding</t>
  </si>
  <si>
    <t>Feedback integrator gain (fi) =</t>
  </si>
  <si>
    <t>Feedback zero (fz) =</t>
  </si>
  <si>
    <t>Feedback pole (fp) =</t>
  </si>
  <si>
    <t>Opto coupler diode resistor (RD)</t>
  </si>
  <si>
    <t>Voltage divider resistor (R2)</t>
  </si>
  <si>
    <t>431 Bias resistor (Rbias)</t>
  </si>
  <si>
    <t>nF</t>
  </si>
  <si>
    <t>Feeback pin capacitor (CB) =</t>
  </si>
  <si>
    <t>Feedback Capacitor (CF) =</t>
  </si>
  <si>
    <t>Feedback resistor (RF) =</t>
  </si>
  <si>
    <t>Maximum output power (Po) =</t>
  </si>
  <si>
    <t>Maximum input power (Pin) =</t>
  </si>
  <si>
    <t>Primary side inductance (Lm) =</t>
  </si>
  <si>
    <t>Cross sectional area of core (Ae)</t>
  </si>
  <si>
    <t>Voltage divider resistor (R1)</t>
  </si>
  <si>
    <t>㏀</t>
  </si>
  <si>
    <t xml:space="preserve">㏀ </t>
  </si>
  <si>
    <t>Control-to-output DC gain =</t>
  </si>
  <si>
    <t>Control-to-output zero =</t>
  </si>
  <si>
    <t>Control-to-output RHP zero =</t>
  </si>
  <si>
    <t>Control-to-output pole =</t>
  </si>
  <si>
    <t>Gap length (center pole gap)=</t>
  </si>
  <si>
    <t>AL value (no gap)</t>
  </si>
  <si>
    <t>FPS Design Assistant  ver.1.0</t>
  </si>
  <si>
    <t>By Choi</t>
  </si>
  <si>
    <t>Io</t>
  </si>
  <si>
    <t>Po</t>
  </si>
  <si>
    <t>KL</t>
  </si>
  <si>
    <t>Minimum Line voltage (V_line.min)</t>
  </si>
  <si>
    <t>Maximum Line voltage (V_line.max)</t>
  </si>
  <si>
    <t>Line frequency (fL)</t>
  </si>
  <si>
    <t>Estimated efficiency (Eff)</t>
  </si>
  <si>
    <t>4. Determine transformer primary inductance (Lm)</t>
  </si>
  <si>
    <t>8. Determine the rectifier diodes in the secondary side</t>
  </si>
  <si>
    <t>Maximum DC link voltage in CCM</t>
  </si>
  <si>
    <t>Fopr
(KHz)</t>
  </si>
  <si>
    <t>A/R</t>
  </si>
  <si>
    <t>NO</t>
  </si>
  <si>
    <t>Latch</t>
  </si>
  <si>
    <t>YES</t>
  </si>
  <si>
    <t>TO-3P-5L</t>
  </si>
  <si>
    <t>Original</t>
  </si>
  <si>
    <t>TO-3PF-5L</t>
  </si>
  <si>
    <t>STR-F6653</t>
  </si>
  <si>
    <t>Monitor</t>
  </si>
  <si>
    <t>8DIP</t>
  </si>
  <si>
    <t>TO-220-5L</t>
  </si>
  <si>
    <t>Sync.</t>
  </si>
  <si>
    <t>STR-F6654</t>
  </si>
  <si>
    <t>TO-220F-5L</t>
  </si>
  <si>
    <t>FS6S0965RT</t>
  </si>
  <si>
    <t>STR-G5653</t>
  </si>
  <si>
    <t>@36-75VDC</t>
  </si>
  <si>
    <t>DPA426R</t>
  </si>
  <si>
    <t>9 / [7]</t>
  </si>
  <si>
    <t>6 / [5]</t>
  </si>
  <si>
    <t>TNY264P</t>
  </si>
  <si>
    <t>The letter 'x' stands for H/M/L separately. Each letter 'H','M' &amp; 'L' means 100KHz/70KHz/50KHz.</t>
  </si>
  <si>
    <t>Maximum flux density swing</t>
  </si>
  <si>
    <t>Saturation flux density (Bsat)</t>
  </si>
  <si>
    <t>Capacitance</t>
  </si>
  <si>
    <t>Maximum MOSFET voltage =</t>
  </si>
  <si>
    <t>Power loss in snubber resistor =</t>
  </si>
  <si>
    <t>Rms Current</t>
  </si>
  <si>
    <t>Maximum nominal MOSFET voltage =</t>
  </si>
  <si>
    <t>Nominal Voltage of snubber capacitor</t>
  </si>
  <si>
    <t>Nominal snubber capacitor voltage ripple</t>
  </si>
  <si>
    <t>Maximum snubber capacitor voltage=</t>
  </si>
  <si>
    <t>(In Normal Operation)</t>
  </si>
  <si>
    <t>Maximum DC link voltage =</t>
  </si>
  <si>
    <t>Device</t>
  </si>
  <si>
    <t>Recommend
New Device</t>
  </si>
  <si>
    <t>Function</t>
  </si>
  <si>
    <t>Protection Mode</t>
  </si>
  <si>
    <t>Soft Start
Option</t>
  </si>
  <si>
    <t>PKG</t>
  </si>
  <si>
    <t xml:space="preserve">Cross
Reference </t>
  </si>
  <si>
    <t>Application</t>
  </si>
  <si>
    <t>Application Note
www.fairchildsemi.com</t>
  </si>
  <si>
    <t>Features</t>
  </si>
  <si>
    <t>Vdmax
(V)</t>
  </si>
  <si>
    <t>Ipeak
(A)</t>
  </si>
  <si>
    <t>Pin(max)(W)_open frame
[adaptor type]</t>
  </si>
  <si>
    <r>
      <t>Rds(on)
max (</t>
    </r>
    <r>
      <rPr>
        <sz val="10"/>
        <rFont val="돋움"/>
        <family val="2"/>
      </rPr>
      <t>Ω</t>
    </r>
    <r>
      <rPr>
        <sz val="10"/>
        <rFont val="Arial"/>
        <family val="2"/>
      </rPr>
      <t>)</t>
    </r>
  </si>
  <si>
    <t>Over
Load</t>
  </si>
  <si>
    <t>Over
Current</t>
  </si>
  <si>
    <t>Over
Voltage</t>
  </si>
  <si>
    <t>Thermal
Shutdown</t>
  </si>
  <si>
    <t>85-265VAC</t>
  </si>
  <si>
    <t>230VAC</t>
  </si>
  <si>
    <t>1st Generation 800V Class</t>
  </si>
  <si>
    <t>KA1M0280RB</t>
  </si>
  <si>
    <t>KA5x0280R</t>
  </si>
  <si>
    <t>TO-220F-4L</t>
  </si>
  <si>
    <t>TOP223Y</t>
  </si>
  <si>
    <t>DVD</t>
  </si>
  <si>
    <t>AN4105
AN4106</t>
  </si>
  <si>
    <t>KA1x0380RB</t>
  </si>
  <si>
    <t>KA5x0380R</t>
  </si>
  <si>
    <t>67/50</t>
  </si>
  <si>
    <t>TOP224Y</t>
  </si>
  <si>
    <t>VCR / DVD</t>
  </si>
  <si>
    <t>KA1x0680B</t>
  </si>
  <si>
    <t>FS7M0680</t>
  </si>
  <si>
    <t>100/67</t>
  </si>
  <si>
    <t>TO-3P-5L</t>
  </si>
  <si>
    <t>Original</t>
  </si>
  <si>
    <t>PC, SMPS</t>
  </si>
  <si>
    <t>AN4105
AN4104</t>
  </si>
  <si>
    <t>KA1H0680RFB</t>
  </si>
  <si>
    <t>KA1M0680RB</t>
  </si>
  <si>
    <t>KA1M0880B(F)</t>
  </si>
  <si>
    <t>FS7M0880</t>
  </si>
  <si>
    <t>TO-3P(F)-5L</t>
  </si>
  <si>
    <t>KA1M0880D</t>
  </si>
  <si>
    <t>Optimized for forward converter</t>
  </si>
  <si>
    <t>KA2S0680B</t>
  </si>
  <si>
    <t>FS8S0765RCB</t>
  </si>
  <si>
    <t>20~150</t>
  </si>
  <si>
    <t>STR-F6653</t>
  </si>
  <si>
    <t>Monitor</t>
  </si>
  <si>
    <t>AN4105
AN4103</t>
  </si>
  <si>
    <t>KA3S0680RFB</t>
  </si>
  <si>
    <t>KA5Q0765RTH</t>
  </si>
  <si>
    <t>TO-3PF-5L</t>
  </si>
  <si>
    <t>STR-S6707</t>
  </si>
  <si>
    <t>C-TV</t>
  </si>
  <si>
    <t>AN4105
AN4102</t>
  </si>
  <si>
    <t>KA3S0880RFB</t>
  </si>
  <si>
    <t>KA5Q12656RT</t>
  </si>
  <si>
    <t>1st Generation 650V Class</t>
  </si>
  <si>
    <t>KA1H0165RN</t>
  </si>
  <si>
    <t>KA5x0165RN</t>
  </si>
  <si>
    <t>8DIP</t>
  </si>
  <si>
    <t>TOP222P</t>
  </si>
  <si>
    <t>Charger</t>
  </si>
  <si>
    <t>AN4105
AN4101</t>
  </si>
  <si>
    <t>KA1H0165R</t>
  </si>
  <si>
    <t>KA5x0165R</t>
  </si>
  <si>
    <t>TOP222Y</t>
  </si>
  <si>
    <t>KA1M0265R</t>
  </si>
  <si>
    <t>KA5x0265R</t>
  </si>
  <si>
    <t>Auxiliary Power</t>
  </si>
  <si>
    <t>KA1M0365R</t>
  </si>
  <si>
    <t>KA5x0365R</t>
  </si>
  <si>
    <t>STB</t>
  </si>
  <si>
    <t>KA1x0565R</t>
  </si>
  <si>
    <t>FSDM0565R</t>
  </si>
  <si>
    <t>TOP227Y</t>
  </si>
  <si>
    <t>Note-PC Adaptor</t>
  </si>
  <si>
    <t>KA1M0765R</t>
  </si>
  <si>
    <t>KA5M0765RQC</t>
  </si>
  <si>
    <t>SMPS</t>
  </si>
  <si>
    <t>AN4105</t>
  </si>
  <si>
    <t>KA1M0965R</t>
  </si>
  <si>
    <t>KA5M0965Q</t>
  </si>
  <si>
    <t>2nd Generation 800V Class</t>
  </si>
  <si>
    <t>A/R</t>
  </si>
  <si>
    <t>100/67/50</t>
  </si>
  <si>
    <t>KA5P0680C</t>
  </si>
  <si>
    <t>TO-220-5L</t>
  </si>
  <si>
    <t>PC SMPS</t>
  </si>
  <si>
    <t>AN4105,  AN4104</t>
  </si>
  <si>
    <t>Intelligent Power Saving Mode</t>
  </si>
  <si>
    <t>2nd Generation 650V Class</t>
  </si>
  <si>
    <t>TOP222Y
TOP222P</t>
  </si>
  <si>
    <t xml:space="preserve">Charger
Auxiliary </t>
  </si>
  <si>
    <t>FSDL0165RN</t>
  </si>
  <si>
    <t>KA5x02659RN</t>
  </si>
  <si>
    <t>FSDx0265RN</t>
  </si>
  <si>
    <t>KA5H0265RC</t>
  </si>
  <si>
    <t>KA5x0365RN</t>
  </si>
  <si>
    <t>FSDx0365RN</t>
  </si>
  <si>
    <t>TOP224P</t>
  </si>
  <si>
    <t>KA5S0765C</t>
  </si>
  <si>
    <t>Sync.</t>
  </si>
  <si>
    <t>KA5S0965</t>
  </si>
  <si>
    <t>FS6S0965RCB</t>
  </si>
  <si>
    <t>STR-F6654</t>
  </si>
  <si>
    <t>KA5S12656</t>
  </si>
  <si>
    <t>FS6S1265RE</t>
  </si>
  <si>
    <t>STR-F6656</t>
  </si>
  <si>
    <t>KA5S1265</t>
  </si>
  <si>
    <t>KA5Q0565RT</t>
  </si>
  <si>
    <t>QRC</t>
  </si>
  <si>
    <t>Latch</t>
  </si>
  <si>
    <t>NO</t>
  </si>
  <si>
    <t>TO-220F-5L</t>
  </si>
  <si>
    <t>1.Burst Mode Operation for low stdby
2.Simple application with both primary and secondary side regulation</t>
  </si>
  <si>
    <t>KA5Q0740RT</t>
  </si>
  <si>
    <t>-</t>
  </si>
  <si>
    <t>FSCQ0765RT</t>
  </si>
  <si>
    <t>KA5Q1265RF</t>
  </si>
  <si>
    <t>KA5Q1265RFH</t>
  </si>
  <si>
    <t>KA5Q1565RF</t>
  </si>
  <si>
    <t>3rd Generation</t>
  </si>
  <si>
    <t>FS6M07652RTC</t>
  </si>
  <si>
    <t>FSDM07652R</t>
  </si>
  <si>
    <t>LCD Monitor</t>
  </si>
  <si>
    <t>AN4105
AN4116</t>
  </si>
  <si>
    <t>Burst Mode Operation for low stdby</t>
  </si>
  <si>
    <t>FS6M12653RTC</t>
  </si>
  <si>
    <t>FS6S0765RCH</t>
  </si>
  <si>
    <t>AN4105
AN4108</t>
  </si>
  <si>
    <t>FS6S0965R</t>
  </si>
  <si>
    <t>FS6S1565RB</t>
  </si>
  <si>
    <t>PDP, PC</t>
  </si>
  <si>
    <t>AN4104</t>
  </si>
  <si>
    <t>YES</t>
  </si>
  <si>
    <t>PSR, Low stdby power</t>
  </si>
  <si>
    <t>FS6X1220RT</t>
  </si>
  <si>
    <t>@36-75VDC</t>
  </si>
  <si>
    <t>DPA426R</t>
  </si>
  <si>
    <t>DC/DC off-line</t>
  </si>
  <si>
    <t>FS6X1220RD</t>
  </si>
  <si>
    <t>D2-PAK-5L</t>
  </si>
  <si>
    <t>Green FPS</t>
  </si>
  <si>
    <t>FSDH0165</t>
  </si>
  <si>
    <t>FSDM311</t>
  </si>
  <si>
    <t>9 / [7]</t>
  </si>
  <si>
    <t>8DIPH</t>
  </si>
  <si>
    <t>TNY266P</t>
  </si>
  <si>
    <t>AN4105
AN4111</t>
  </si>
  <si>
    <t>1Chip 1PKG</t>
  </si>
  <si>
    <t>FSDH0165D</t>
  </si>
  <si>
    <t>FSDH565</t>
  </si>
  <si>
    <t>FSD200/FSD210</t>
  </si>
  <si>
    <t>6 / [5]</t>
  </si>
  <si>
    <t>TNY264P</t>
  </si>
  <si>
    <r>
      <t>FSD200</t>
    </r>
    <r>
      <rPr>
        <b/>
        <sz val="10"/>
        <color indexed="10"/>
        <rFont val="Arial"/>
        <family val="2"/>
      </rPr>
      <t>(M)</t>
    </r>
  </si>
  <si>
    <t>9 / [6]</t>
  </si>
  <si>
    <r>
      <t>7DIP</t>
    </r>
    <r>
      <rPr>
        <b/>
        <sz val="10"/>
        <color indexed="10"/>
        <rFont val="Arial"/>
        <family val="2"/>
      </rPr>
      <t>(7LSOP)</t>
    </r>
  </si>
  <si>
    <r>
      <t>FSD210</t>
    </r>
    <r>
      <rPr>
        <b/>
        <sz val="10"/>
        <color indexed="10"/>
        <rFont val="Arial"/>
        <family val="2"/>
      </rPr>
      <t>(M)</t>
    </r>
  </si>
  <si>
    <t>VIPer22A</t>
  </si>
  <si>
    <t>PC Aux</t>
  </si>
  <si>
    <t>2Chip 1PKG</t>
  </si>
  <si>
    <t>FSDL312</t>
  </si>
  <si>
    <t>FSD1000</t>
  </si>
  <si>
    <t>12DIPH</t>
  </si>
  <si>
    <t>PC</t>
  </si>
  <si>
    <t>FSDL0165RN(L)</t>
  </si>
  <si>
    <t>8DIP(8LSOP)</t>
  </si>
  <si>
    <t>DVDP/STB</t>
  </si>
  <si>
    <t>TO-220F-6L</t>
  </si>
  <si>
    <t>CTV</t>
  </si>
  <si>
    <t>FSCQ1565RT</t>
  </si>
  <si>
    <t>FSCQ1565RG</t>
  </si>
  <si>
    <t>TO-3PF-6L</t>
  </si>
  <si>
    <t>FSCQ2065RG</t>
  </si>
  <si>
    <t>A/R-Auto Restart</t>
  </si>
  <si>
    <t>Pin(max) Test Condition :</t>
  </si>
  <si>
    <t>85-265VAC :</t>
  </si>
  <si>
    <t>Flyback Converter, Discontinuous Current Mode, Dmax=0.50, Vin=100VDC</t>
  </si>
  <si>
    <t>230VAC :</t>
  </si>
  <si>
    <t>Flyback Converter, Discontinuous Current Mode, Dmax=0.25, Vin=220VDC</t>
  </si>
  <si>
    <t>under development</t>
  </si>
  <si>
    <t>not recommend for new design</t>
  </si>
  <si>
    <t>工作频率</t>
  </si>
  <si>
    <t>最小AC电压</t>
  </si>
  <si>
    <t>最大AC电压</t>
  </si>
  <si>
    <t>AC 主频率</t>
  </si>
  <si>
    <r>
      <t>输出电压</t>
    </r>
    <r>
      <rPr>
        <sz val="11"/>
        <rFont val="Times New Roman"/>
        <family val="1"/>
      </rPr>
      <t>1</t>
    </r>
  </si>
  <si>
    <r>
      <t>输出电压</t>
    </r>
    <r>
      <rPr>
        <sz val="11"/>
        <rFont val="Times New Roman"/>
        <family val="1"/>
      </rPr>
      <t>2</t>
    </r>
  </si>
  <si>
    <r>
      <t>输出电压</t>
    </r>
    <r>
      <rPr>
        <sz val="11"/>
        <rFont val="Times New Roman"/>
        <family val="1"/>
      </rPr>
      <t>3</t>
    </r>
  </si>
  <si>
    <r>
      <t>输出电压</t>
    </r>
    <r>
      <rPr>
        <sz val="11"/>
        <rFont val="Times New Roman"/>
        <family val="1"/>
      </rPr>
      <t>4</t>
    </r>
  </si>
  <si>
    <r>
      <t>输出电压</t>
    </r>
    <r>
      <rPr>
        <sz val="11"/>
        <rFont val="Times New Roman"/>
        <family val="1"/>
      </rPr>
      <t>5</t>
    </r>
  </si>
  <si>
    <r>
      <t>输出电压</t>
    </r>
    <r>
      <rPr>
        <sz val="11"/>
        <rFont val="Times New Roman"/>
        <family val="1"/>
      </rPr>
      <t>6</t>
    </r>
  </si>
  <si>
    <t>最大输出功率</t>
  </si>
  <si>
    <t>效率</t>
  </si>
  <si>
    <t>最大输入功率</t>
  </si>
  <si>
    <t>输入滤波电容</t>
  </si>
  <si>
    <t>纹波电压</t>
  </si>
  <si>
    <t>最小直流电压</t>
  </si>
  <si>
    <t>最大直流电压</t>
  </si>
  <si>
    <t>最大占空比</t>
  </si>
  <si>
    <r>
      <t>MOS</t>
    </r>
    <r>
      <rPr>
        <sz val="11"/>
        <rFont val="돋움"/>
        <family val="0"/>
      </rPr>
      <t>管电压值</t>
    </r>
  </si>
  <si>
    <t>反射电压</t>
  </si>
  <si>
    <t>功率因素</t>
  </si>
  <si>
    <t>主电感量</t>
  </si>
  <si>
    <t>最大峰值电流</t>
  </si>
  <si>
    <t>VF : Forward voltage drop of rectifier diode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</si>
</sst>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_ "/>
    <numFmt numFmtId="186" formatCode="0.00_ "/>
    <numFmt numFmtId="187" formatCode="#,##0_ "/>
    <numFmt numFmtId="188" formatCode="0.0_);[Red]\(0.0\)"/>
    <numFmt numFmtId="189" formatCode="0.0"/>
    <numFmt numFmtId="190" formatCode="000\-0000"/>
    <numFmt numFmtId="191" formatCode="0_);[Red]\(0\)"/>
  </numFmts>
  <fonts count="56">
    <font>
      <sz val="11"/>
      <name val="돋움"/>
      <family val="0"/>
    </font>
    <font>
      <sz val="8"/>
      <name val="돋움"/>
      <family val="3"/>
    </font>
    <font>
      <u val="single"/>
      <sz val="11"/>
      <name val="돋움"/>
      <family val="3"/>
    </font>
    <font>
      <b/>
      <sz val="11"/>
      <name val="돋움"/>
      <family val="2"/>
    </font>
    <font>
      <b/>
      <sz val="11"/>
      <color indexed="60"/>
      <name val="돋움"/>
      <family val="2"/>
    </font>
    <font>
      <b/>
      <u val="single"/>
      <sz val="11"/>
      <color indexed="60"/>
      <name val="돋움"/>
      <family val="2"/>
    </font>
    <font>
      <sz val="11"/>
      <color indexed="8"/>
      <name val="돋움"/>
      <family val="3"/>
    </font>
    <font>
      <u val="single"/>
      <sz val="11"/>
      <color indexed="12"/>
      <name val="돋움"/>
      <family val="3"/>
    </font>
    <font>
      <sz val="11"/>
      <color indexed="12"/>
      <name val="돋움"/>
      <family val="3"/>
    </font>
    <font>
      <vertAlign val="superscript"/>
      <sz val="11"/>
      <color indexed="12"/>
      <name val="돋움"/>
      <family val="3"/>
    </font>
    <font>
      <b/>
      <vertAlign val="superscript"/>
      <sz val="11"/>
      <color indexed="60"/>
      <name val="돋움"/>
      <family val="2"/>
    </font>
    <font>
      <u val="single"/>
      <sz val="11"/>
      <color indexed="8"/>
      <name val="돋움"/>
      <family val="3"/>
    </font>
    <font>
      <u val="single"/>
      <sz val="11"/>
      <color indexed="36"/>
      <name val="돋움"/>
      <family val="3"/>
    </font>
    <font>
      <b/>
      <sz val="11"/>
      <color indexed="9"/>
      <name val="돋움"/>
      <family val="2"/>
    </font>
    <font>
      <b/>
      <sz val="9"/>
      <name val="굴림"/>
      <family val="2"/>
    </font>
    <font>
      <b/>
      <i/>
      <sz val="14"/>
      <name val="Times New Roman"/>
      <family val="1"/>
    </font>
    <font>
      <b/>
      <sz val="11"/>
      <color indexed="10"/>
      <name val="돋움"/>
      <family val="2"/>
    </font>
    <font>
      <sz val="11"/>
      <color indexed="10"/>
      <name val="돋움"/>
      <family val="3"/>
    </font>
    <font>
      <b/>
      <sz val="11"/>
      <color indexed="12"/>
      <name val="돋움"/>
      <family val="2"/>
    </font>
    <font>
      <b/>
      <vertAlign val="superscript"/>
      <sz val="11"/>
      <color indexed="12"/>
      <name val="돋움"/>
      <family val="2"/>
    </font>
    <font>
      <b/>
      <sz val="11"/>
      <color indexed="8"/>
      <name val="돋움"/>
      <family val="2"/>
    </font>
    <font>
      <vertAlign val="superscript"/>
      <sz val="11"/>
      <name val="돋움"/>
      <family val="3"/>
    </font>
    <font>
      <sz val="11"/>
      <color indexed="9"/>
      <name val="돋움"/>
      <family val="3"/>
    </font>
    <font>
      <b/>
      <u val="single"/>
      <sz val="11"/>
      <color indexed="8"/>
      <name val="돋움"/>
      <family val="2"/>
    </font>
    <font>
      <sz val="12"/>
      <name val="바탕체"/>
      <family val="3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Helv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MS Sans Serif"/>
      <family val="2"/>
    </font>
    <font>
      <i/>
      <sz val="10"/>
      <name val="Arial"/>
      <family val="2"/>
    </font>
    <font>
      <sz val="10"/>
      <name val="돋움"/>
      <family val="2"/>
    </font>
    <font>
      <b/>
      <sz val="11"/>
      <color indexed="12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10"/>
      <name val="Arial"/>
      <family val="2"/>
    </font>
    <font>
      <i/>
      <sz val="11"/>
      <color indexed="10"/>
      <name val="Arial"/>
      <family val="2"/>
    </font>
    <font>
      <i/>
      <sz val="11"/>
      <name val="Arial"/>
      <family val="2"/>
    </font>
    <font>
      <sz val="10"/>
      <name val="Courier"/>
      <family val="3"/>
    </font>
    <font>
      <sz val="8"/>
      <name val="바탕"/>
      <family val="1"/>
    </font>
    <font>
      <sz val="10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23"/>
      <name val="돋움"/>
      <family val="3"/>
    </font>
    <font>
      <sz val="11"/>
      <color indexed="23"/>
      <name val="Arial"/>
      <family val="2"/>
    </font>
    <font>
      <b/>
      <sz val="12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b/>
      <sz val="8"/>
      <name val="돋움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>
      <alignment/>
      <protection/>
    </xf>
    <xf numFmtId="38" fontId="26" fillId="2" borderId="0" applyNumberFormat="0" applyBorder="0" applyAlignment="0" applyProtection="0"/>
    <xf numFmtId="0" fontId="29" fillId="0" borderId="0">
      <alignment horizontal="left"/>
      <protection/>
    </xf>
    <xf numFmtId="0" fontId="30" fillId="0" borderId="1" applyNumberFormat="0" applyAlignment="0" applyProtection="0"/>
    <xf numFmtId="0" fontId="30" fillId="0" borderId="2">
      <alignment horizontal="left" vertical="center"/>
      <protection/>
    </xf>
    <xf numFmtId="10" fontId="26" fillId="2" borderId="3" applyNumberFormat="0" applyBorder="0" applyAlignment="0" applyProtection="0"/>
    <xf numFmtId="0" fontId="31" fillId="0" borderId="4">
      <alignment/>
      <protection/>
    </xf>
    <xf numFmtId="190" fontId="0" fillId="0" borderId="0">
      <alignment/>
      <protection/>
    </xf>
    <xf numFmtId="0" fontId="45" fillId="0" borderId="0">
      <alignment/>
      <protection/>
    </xf>
    <xf numFmtId="10" fontId="2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3" borderId="0" applyNumberFormat="0" applyFont="0" applyBorder="0" applyAlignment="0" applyProtection="0"/>
    <xf numFmtId="0" fontId="31" fillId="0" borderId="0">
      <alignment/>
      <protection/>
    </xf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9">
    <xf numFmtId="0" fontId="0" fillId="0" borderId="0" xfId="0" applyAlignment="1">
      <alignment/>
    </xf>
    <xf numFmtId="0" fontId="7" fillId="4" borderId="0" xfId="0" applyFont="1" applyFill="1" applyAlignment="1" applyProtection="1">
      <alignment/>
      <protection locked="0"/>
    </xf>
    <xf numFmtId="0" fontId="11" fillId="4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 quotePrefix="1">
      <alignment/>
      <protection locked="0"/>
    </xf>
    <xf numFmtId="0" fontId="7" fillId="4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186" fontId="7" fillId="4" borderId="0" xfId="0" applyNumberFormat="1" applyFont="1" applyFill="1" applyAlignment="1" applyProtection="1">
      <alignment/>
      <protection locked="0"/>
    </xf>
    <xf numFmtId="0" fontId="8" fillId="4" borderId="0" xfId="0" applyFont="1" applyFill="1" applyAlignment="1" applyProtection="1">
      <alignment/>
      <protection locked="0"/>
    </xf>
    <xf numFmtId="0" fontId="25" fillId="2" borderId="0" xfId="0" applyFont="1" applyFill="1" applyAlignment="1">
      <alignment vertical="center"/>
    </xf>
    <xf numFmtId="0" fontId="25" fillId="5" borderId="5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left" vertical="center"/>
    </xf>
    <xf numFmtId="0" fontId="35" fillId="2" borderId="7" xfId="0" applyFont="1" applyFill="1" applyBorder="1" applyAlignment="1">
      <alignment horizontal="left" vertical="center"/>
    </xf>
    <xf numFmtId="0" fontId="27" fillId="2" borderId="0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0" xfId="0" applyFont="1" applyFill="1" applyAlignment="1">
      <alignment vertical="center"/>
    </xf>
    <xf numFmtId="0" fontId="47" fillId="5" borderId="8" xfId="0" applyFont="1" applyFill="1" applyBorder="1" applyAlignment="1">
      <alignment horizontal="left" vertical="center"/>
    </xf>
    <xf numFmtId="0" fontId="48" fillId="5" borderId="8" xfId="0" applyFont="1" applyFill="1" applyBorder="1" applyAlignment="1">
      <alignment horizontal="left" vertical="center"/>
    </xf>
    <xf numFmtId="0" fontId="47" fillId="2" borderId="8" xfId="0" applyFont="1" applyFill="1" applyBorder="1" applyAlignment="1">
      <alignment horizontal="center" vertical="center"/>
    </xf>
    <xf numFmtId="0" fontId="47" fillId="2" borderId="9" xfId="0" applyFont="1" applyFill="1" applyBorder="1" applyAlignment="1">
      <alignment horizontal="center" vertical="center"/>
    </xf>
    <xf numFmtId="189" fontId="47" fillId="2" borderId="8" xfId="0" applyNumberFormat="1" applyFont="1" applyFill="1" applyBorder="1" applyAlignment="1">
      <alignment horizontal="center" vertical="center"/>
    </xf>
    <xf numFmtId="0" fontId="47" fillId="2" borderId="10" xfId="0" applyFont="1" applyFill="1" applyBorder="1" applyAlignment="1">
      <alignment horizontal="center" vertical="center"/>
    </xf>
    <xf numFmtId="0" fontId="47" fillId="2" borderId="8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vertical="center"/>
    </xf>
    <xf numFmtId="0" fontId="47" fillId="2" borderId="0" xfId="0" applyFont="1" applyFill="1" applyAlignment="1">
      <alignment vertical="center"/>
    </xf>
    <xf numFmtId="0" fontId="47" fillId="2" borderId="7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vertical="center"/>
    </xf>
    <xf numFmtId="0" fontId="47" fillId="2" borderId="5" xfId="0" applyFont="1" applyFill="1" applyBorder="1" applyAlignment="1">
      <alignment horizontal="center" vertical="center"/>
    </xf>
    <xf numFmtId="0" fontId="47" fillId="5" borderId="11" xfId="0" applyFont="1" applyFill="1" applyBorder="1" applyAlignment="1">
      <alignment horizontal="left" vertical="center"/>
    </xf>
    <xf numFmtId="0" fontId="48" fillId="5" borderId="11" xfId="0" applyFont="1" applyFill="1" applyBorder="1" applyAlignment="1">
      <alignment horizontal="left" vertical="center"/>
    </xf>
    <xf numFmtId="0" fontId="47" fillId="2" borderId="11" xfId="0" applyFont="1" applyFill="1" applyBorder="1" applyAlignment="1">
      <alignment horizontal="center" vertical="center"/>
    </xf>
    <xf numFmtId="189" fontId="47" fillId="2" borderId="11" xfId="0" applyNumberFormat="1" applyFont="1" applyFill="1" applyBorder="1" applyAlignment="1">
      <alignment horizontal="center" vertical="center"/>
    </xf>
    <xf numFmtId="0" fontId="47" fillId="5" borderId="13" xfId="0" applyFont="1" applyFill="1" applyBorder="1" applyAlignment="1">
      <alignment horizontal="left" vertical="center"/>
    </xf>
    <xf numFmtId="0" fontId="48" fillId="5" borderId="13" xfId="0" applyFont="1" applyFill="1" applyBorder="1" applyAlignment="1">
      <alignment horizontal="left" vertical="center"/>
    </xf>
    <xf numFmtId="0" fontId="47" fillId="2" borderId="13" xfId="0" applyFont="1" applyFill="1" applyBorder="1" applyAlignment="1">
      <alignment horizontal="center" vertical="center"/>
    </xf>
    <xf numFmtId="189" fontId="47" fillId="2" borderId="13" xfId="0" applyNumberFormat="1" applyFont="1" applyFill="1" applyBorder="1" applyAlignment="1">
      <alignment horizontal="center" vertical="center"/>
    </xf>
    <xf numFmtId="0" fontId="47" fillId="2" borderId="8" xfId="0" applyFont="1" applyFill="1" applyBorder="1" applyAlignment="1">
      <alignment horizontal="left" vertical="center"/>
    </xf>
    <xf numFmtId="0" fontId="47" fillId="2" borderId="5" xfId="0" applyFont="1" applyFill="1" applyBorder="1" applyAlignment="1">
      <alignment vertical="center"/>
    </xf>
    <xf numFmtId="0" fontId="47" fillId="2" borderId="12" xfId="0" applyFont="1" applyFill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vertical="center"/>
    </xf>
    <xf numFmtId="0" fontId="27" fillId="2" borderId="6" xfId="0" applyFont="1" applyFill="1" applyBorder="1" applyAlignment="1">
      <alignment vertical="center"/>
    </xf>
    <xf numFmtId="0" fontId="25" fillId="2" borderId="6" xfId="0" applyFont="1" applyFill="1" applyBorder="1" applyAlignment="1">
      <alignment horizontal="center" vertical="center"/>
    </xf>
    <xf numFmtId="0" fontId="27" fillId="2" borderId="7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right" vertical="center"/>
    </xf>
    <xf numFmtId="0" fontId="47" fillId="2" borderId="8" xfId="0" applyFont="1" applyFill="1" applyBorder="1" applyAlignment="1">
      <alignment vertical="center"/>
    </xf>
    <xf numFmtId="0" fontId="47" fillId="2" borderId="11" xfId="0" applyFont="1" applyFill="1" applyBorder="1" applyAlignment="1">
      <alignment vertical="center"/>
    </xf>
    <xf numFmtId="0" fontId="47" fillId="5" borderId="5" xfId="0" applyFont="1" applyFill="1" applyBorder="1" applyAlignment="1">
      <alignment horizontal="left" vertical="center"/>
    </xf>
    <xf numFmtId="0" fontId="48" fillId="5" borderId="5" xfId="0" applyFont="1" applyFill="1" applyBorder="1" applyAlignment="1">
      <alignment horizontal="left" vertical="center"/>
    </xf>
    <xf numFmtId="0" fontId="27" fillId="2" borderId="9" xfId="0" applyFont="1" applyFill="1" applyBorder="1" applyAlignment="1">
      <alignment vertical="center"/>
    </xf>
    <xf numFmtId="0" fontId="25" fillId="2" borderId="9" xfId="0" applyFont="1" applyFill="1" applyBorder="1" applyAlignment="1">
      <alignment horizontal="center" vertical="center"/>
    </xf>
    <xf numFmtId="0" fontId="27" fillId="2" borderId="10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center" vertical="center"/>
    </xf>
    <xf numFmtId="0" fontId="27" fillId="2" borderId="9" xfId="0" applyFont="1" applyFill="1" applyBorder="1" applyAlignment="1">
      <alignment horizontal="right" vertical="center"/>
    </xf>
    <xf numFmtId="0" fontId="25" fillId="5" borderId="8" xfId="0" applyFont="1" applyFill="1" applyBorder="1" applyAlignment="1">
      <alignment horizontal="left" vertical="center"/>
    </xf>
    <xf numFmtId="0" fontId="33" fillId="5" borderId="8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center" vertical="center"/>
    </xf>
    <xf numFmtId="189" fontId="25" fillId="2" borderId="8" xfId="0" applyNumberFormat="1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left" vertical="center" indent="1"/>
    </xf>
    <xf numFmtId="14" fontId="0" fillId="2" borderId="0" xfId="0" applyNumberFormat="1" applyFill="1" applyAlignment="1">
      <alignment/>
    </xf>
    <xf numFmtId="0" fontId="25" fillId="2" borderId="11" xfId="0" applyFont="1" applyFill="1" applyBorder="1" applyAlignment="1">
      <alignment vertical="center"/>
    </xf>
    <xf numFmtId="0" fontId="25" fillId="5" borderId="13" xfId="0" applyFont="1" applyFill="1" applyBorder="1" applyAlignment="1">
      <alignment horizontal="left" vertical="center"/>
    </xf>
    <xf numFmtId="0" fontId="33" fillId="5" borderId="13" xfId="0" applyFont="1" applyFill="1" applyBorder="1" applyAlignment="1">
      <alignment horizontal="left" vertical="center"/>
    </xf>
    <xf numFmtId="0" fontId="25" fillId="2" borderId="13" xfId="0" applyFont="1" applyFill="1" applyBorder="1" applyAlignment="1">
      <alignment horizontal="center" vertical="center"/>
    </xf>
    <xf numFmtId="189" fontId="25" fillId="2" borderId="13" xfId="0" applyNumberFormat="1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vertical="center"/>
    </xf>
    <xf numFmtId="0" fontId="25" fillId="2" borderId="8" xfId="0" applyFont="1" applyFill="1" applyBorder="1" applyAlignment="1">
      <alignment vertical="center"/>
    </xf>
    <xf numFmtId="0" fontId="25" fillId="5" borderId="11" xfId="0" applyFont="1" applyFill="1" applyBorder="1" applyAlignment="1">
      <alignment horizontal="left" vertical="center"/>
    </xf>
    <xf numFmtId="0" fontId="39" fillId="5" borderId="11" xfId="0" applyFont="1" applyFill="1" applyBorder="1" applyAlignment="1">
      <alignment horizontal="left" vertical="center"/>
    </xf>
    <xf numFmtId="0" fontId="25" fillId="2" borderId="11" xfId="0" applyFont="1" applyFill="1" applyBorder="1" applyAlignment="1">
      <alignment horizontal="center" vertical="center"/>
    </xf>
    <xf numFmtId="0" fontId="39" fillId="5" borderId="8" xfId="0" applyFont="1" applyFill="1" applyBorder="1" applyAlignment="1">
      <alignment horizontal="left" vertical="center"/>
    </xf>
    <xf numFmtId="0" fontId="25" fillId="2" borderId="11" xfId="0" applyFont="1" applyFill="1" applyBorder="1" applyAlignment="1">
      <alignment horizontal="left" vertical="center" indent="1"/>
    </xf>
    <xf numFmtId="0" fontId="33" fillId="5" borderId="11" xfId="0" applyFont="1" applyFill="1" applyBorder="1" applyAlignment="1">
      <alignment horizontal="left" vertical="center"/>
    </xf>
    <xf numFmtId="189" fontId="25" fillId="2" borderId="11" xfId="0" applyNumberFormat="1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14" fontId="36" fillId="2" borderId="0" xfId="0" applyNumberFormat="1" applyFont="1" applyFill="1" applyAlignment="1">
      <alignment/>
    </xf>
    <xf numFmtId="0" fontId="36" fillId="5" borderId="11" xfId="0" applyFont="1" applyFill="1" applyBorder="1" applyAlignment="1">
      <alignment horizontal="left" vertical="center"/>
    </xf>
    <xf numFmtId="0" fontId="36" fillId="2" borderId="11" xfId="0" applyFont="1" applyFill="1" applyBorder="1" applyAlignment="1">
      <alignment horizontal="center" vertical="center"/>
    </xf>
    <xf numFmtId="2" fontId="36" fillId="2" borderId="11" xfId="0" applyNumberFormat="1" applyFont="1" applyFill="1" applyBorder="1" applyAlignment="1">
      <alignment horizontal="center" vertical="center"/>
    </xf>
    <xf numFmtId="189" fontId="36" fillId="2" borderId="11" xfId="0" applyNumberFormat="1" applyFont="1" applyFill="1" applyBorder="1" applyAlignment="1">
      <alignment horizontal="center" vertical="center"/>
    </xf>
    <xf numFmtId="0" fontId="36" fillId="2" borderId="12" xfId="0" applyFont="1" applyFill="1" applyBorder="1" applyAlignment="1">
      <alignment horizontal="center" vertical="center"/>
    </xf>
    <xf numFmtId="0" fontId="36" fillId="2" borderId="11" xfId="0" applyFont="1" applyFill="1" applyBorder="1" applyAlignment="1">
      <alignment vertical="center"/>
    </xf>
    <xf numFmtId="0" fontId="36" fillId="2" borderId="0" xfId="0" applyFont="1" applyFill="1" applyAlignment="1">
      <alignment vertical="center"/>
    </xf>
    <xf numFmtId="0" fontId="36" fillId="5" borderId="8" xfId="0" applyFont="1" applyFill="1" applyBorder="1" applyAlignment="1">
      <alignment horizontal="left" vertical="center"/>
    </xf>
    <xf numFmtId="0" fontId="37" fillId="5" borderId="8" xfId="0" applyFont="1" applyFill="1" applyBorder="1" applyAlignment="1">
      <alignment horizontal="left" vertical="center"/>
    </xf>
    <xf numFmtId="0" fontId="36" fillId="2" borderId="8" xfId="0" applyFont="1" applyFill="1" applyBorder="1" applyAlignment="1">
      <alignment horizontal="center" vertical="center"/>
    </xf>
    <xf numFmtId="189" fontId="36" fillId="2" borderId="8" xfId="0" applyNumberFormat="1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38" fillId="5" borderId="11" xfId="0" applyFont="1" applyFill="1" applyBorder="1" applyAlignment="1">
      <alignment horizontal="left" vertical="center"/>
    </xf>
    <xf numFmtId="0" fontId="38" fillId="2" borderId="11" xfId="0" applyFont="1" applyFill="1" applyBorder="1" applyAlignment="1">
      <alignment horizontal="center" vertical="center"/>
    </xf>
    <xf numFmtId="189" fontId="38" fillId="2" borderId="11" xfId="0" applyNumberFormat="1" applyFont="1" applyFill="1" applyBorder="1" applyAlignment="1">
      <alignment horizontal="center" vertical="center"/>
    </xf>
    <xf numFmtId="0" fontId="38" fillId="2" borderId="12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vertical="center"/>
    </xf>
    <xf numFmtId="0" fontId="25" fillId="2" borderId="14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vertical="center"/>
    </xf>
    <xf numFmtId="0" fontId="25" fillId="2" borderId="15" xfId="0" applyFont="1" applyFill="1" applyBorder="1" applyAlignment="1">
      <alignment horizontal="center" vertical="center"/>
    </xf>
    <xf numFmtId="0" fontId="27" fillId="2" borderId="14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center" vertical="center"/>
    </xf>
    <xf numFmtId="0" fontId="27" fillId="2" borderId="15" xfId="0" applyFont="1" applyFill="1" applyBorder="1" applyAlignment="1">
      <alignment horizontal="right" vertical="center"/>
    </xf>
    <xf numFmtId="184" fontId="47" fillId="2" borderId="8" xfId="0" applyNumberFormat="1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left" vertical="center"/>
    </xf>
    <xf numFmtId="0" fontId="36" fillId="5" borderId="13" xfId="0" applyFont="1" applyFill="1" applyBorder="1" applyAlignment="1">
      <alignment horizontal="left" vertical="center"/>
    </xf>
    <xf numFmtId="0" fontId="37" fillId="5" borderId="13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center" vertical="center"/>
    </xf>
    <xf numFmtId="184" fontId="36" fillId="2" borderId="13" xfId="0" applyNumberFormat="1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40" fillId="2" borderId="0" xfId="0" applyFont="1" applyFill="1" applyAlignment="1">
      <alignment vertical="center"/>
    </xf>
    <xf numFmtId="0" fontId="37" fillId="5" borderId="11" xfId="0" applyFont="1" applyFill="1" applyBorder="1" applyAlignment="1">
      <alignment horizontal="left" vertical="center"/>
    </xf>
    <xf numFmtId="0" fontId="36" fillId="2" borderId="8" xfId="0" applyFont="1" applyFill="1" applyBorder="1" applyAlignment="1">
      <alignment horizontal="center" vertical="center" wrapText="1"/>
    </xf>
    <xf numFmtId="189" fontId="36" fillId="2" borderId="13" xfId="0" applyNumberFormat="1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left" vertical="center"/>
    </xf>
    <xf numFmtId="0" fontId="36" fillId="2" borderId="16" xfId="0" applyFont="1" applyFill="1" applyBorder="1" applyAlignment="1">
      <alignment horizontal="center" vertical="center"/>
    </xf>
    <xf numFmtId="49" fontId="36" fillId="2" borderId="10" xfId="0" applyNumberFormat="1" applyFont="1" applyFill="1" applyBorder="1" applyAlignment="1">
      <alignment horizontal="center" vertical="center"/>
    </xf>
    <xf numFmtId="0" fontId="38" fillId="5" borderId="13" xfId="0" applyFont="1" applyFill="1" applyBorder="1" applyAlignment="1">
      <alignment horizontal="left" vertical="center"/>
    </xf>
    <xf numFmtId="0" fontId="39" fillId="5" borderId="13" xfId="0" applyFont="1" applyFill="1" applyBorder="1" applyAlignment="1">
      <alignment horizontal="left" vertical="center"/>
    </xf>
    <xf numFmtId="0" fontId="38" fillId="2" borderId="13" xfId="0" applyFont="1" applyFill="1" applyBorder="1" applyAlignment="1">
      <alignment horizontal="center" vertical="center"/>
    </xf>
    <xf numFmtId="189" fontId="38" fillId="2" borderId="13" xfId="0" applyNumberFormat="1" applyFont="1" applyFill="1" applyBorder="1" applyAlignment="1">
      <alignment horizontal="center" vertical="center"/>
    </xf>
    <xf numFmtId="0" fontId="38" fillId="2" borderId="17" xfId="0" applyFont="1" applyFill="1" applyBorder="1" applyAlignment="1">
      <alignment horizontal="center" vertical="center"/>
    </xf>
    <xf numFmtId="0" fontId="38" fillId="2" borderId="14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 wrapText="1"/>
    </xf>
    <xf numFmtId="0" fontId="38" fillId="2" borderId="13" xfId="0" applyFont="1" applyFill="1" applyBorder="1" applyAlignment="1">
      <alignment horizontal="left" vertical="center"/>
    </xf>
    <xf numFmtId="14" fontId="49" fillId="2" borderId="0" xfId="0" applyNumberFormat="1" applyFont="1" applyFill="1" applyAlignment="1">
      <alignment/>
    </xf>
    <xf numFmtId="0" fontId="38" fillId="2" borderId="11" xfId="0" applyFont="1" applyFill="1" applyBorder="1" applyAlignment="1">
      <alignment horizontal="left" vertical="center"/>
    </xf>
    <xf numFmtId="0" fontId="38" fillId="5" borderId="5" xfId="0" applyFont="1" applyFill="1" applyBorder="1" applyAlignment="1">
      <alignment horizontal="left" vertical="center"/>
    </xf>
    <xf numFmtId="0" fontId="39" fillId="5" borderId="5" xfId="0" applyFont="1" applyFill="1" applyBorder="1" applyAlignment="1">
      <alignment horizontal="left" vertical="center"/>
    </xf>
    <xf numFmtId="0" fontId="38" fillId="2" borderId="5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38" fillId="2" borderId="5" xfId="0" applyFont="1" applyFill="1" applyBorder="1" applyAlignment="1">
      <alignment horizontal="center" vertical="center" wrapText="1"/>
    </xf>
    <xf numFmtId="0" fontId="38" fillId="2" borderId="5" xfId="0" applyFont="1" applyFill="1" applyBorder="1" applyAlignment="1">
      <alignment horizontal="left" vertical="center"/>
    </xf>
    <xf numFmtId="0" fontId="38" fillId="2" borderId="12" xfId="0" applyFont="1" applyFill="1" applyBorder="1" applyAlignment="1">
      <alignment horizontal="center" vertical="center"/>
    </xf>
    <xf numFmtId="0" fontId="38" fillId="2" borderId="11" xfId="0" applyFont="1" applyFill="1" applyBorder="1" applyAlignment="1">
      <alignment horizontal="center" vertical="center" wrapText="1"/>
    </xf>
    <xf numFmtId="0" fontId="38" fillId="5" borderId="8" xfId="0" applyFont="1" applyFill="1" applyBorder="1" applyAlignment="1">
      <alignment horizontal="left" vertical="center"/>
    </xf>
    <xf numFmtId="189" fontId="38" fillId="2" borderId="8" xfId="0" applyNumberFormat="1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 wrapText="1"/>
    </xf>
    <xf numFmtId="0" fontId="38" fillId="2" borderId="8" xfId="0" applyFont="1" applyFill="1" applyBorder="1" applyAlignment="1">
      <alignment horizontal="left" vertical="center"/>
    </xf>
    <xf numFmtId="0" fontId="40" fillId="2" borderId="0" xfId="0" applyFont="1" applyFill="1" applyBorder="1" applyAlignment="1">
      <alignment horizontal="left" vertical="center" indent="1"/>
    </xf>
    <xf numFmtId="0" fontId="41" fillId="2" borderId="0" xfId="0" applyFont="1" applyFill="1" applyBorder="1" applyAlignment="1">
      <alignment horizontal="left" vertical="center" indent="1"/>
    </xf>
    <xf numFmtId="0" fontId="40" fillId="2" borderId="0" xfId="0" applyFont="1" applyFill="1" applyBorder="1" applyAlignment="1">
      <alignment horizontal="center" vertical="center"/>
    </xf>
    <xf numFmtId="189" fontId="40" fillId="2" borderId="0" xfId="0" applyNumberFormat="1" applyFont="1" applyFill="1" applyBorder="1" applyAlignment="1">
      <alignment horizontal="center" vertical="center"/>
    </xf>
    <xf numFmtId="0" fontId="40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horizontal="left" vertical="center" indent="1"/>
    </xf>
    <xf numFmtId="0" fontId="33" fillId="2" borderId="0" xfId="0" applyFont="1" applyFill="1" applyBorder="1" applyAlignment="1">
      <alignment horizontal="left" vertical="center" indent="1"/>
    </xf>
    <xf numFmtId="0" fontId="25" fillId="2" borderId="0" xfId="0" applyFont="1" applyFill="1" applyBorder="1" applyAlignment="1">
      <alignment vertical="center"/>
    </xf>
    <xf numFmtId="0" fontId="36" fillId="5" borderId="9" xfId="0" applyFont="1" applyFill="1" applyBorder="1" applyAlignment="1">
      <alignment horizontal="left" vertical="center" indent="1"/>
    </xf>
    <xf numFmtId="0" fontId="37" fillId="5" borderId="9" xfId="0" applyFont="1" applyFill="1" applyBorder="1" applyAlignment="1">
      <alignment horizontal="left" vertical="center" indent="1"/>
    </xf>
    <xf numFmtId="0" fontId="36" fillId="5" borderId="9" xfId="0" applyFont="1" applyFill="1" applyBorder="1" applyAlignment="1">
      <alignment vertical="center"/>
    </xf>
    <xf numFmtId="0" fontId="36" fillId="2" borderId="0" xfId="0" applyFont="1" applyFill="1" applyAlignment="1">
      <alignment horizontal="center" vertical="center"/>
    </xf>
    <xf numFmtId="0" fontId="36" fillId="5" borderId="0" xfId="0" applyFont="1" applyFill="1" applyBorder="1" applyAlignment="1">
      <alignment horizontal="right" vertical="center"/>
    </xf>
    <xf numFmtId="0" fontId="36" fillId="5" borderId="0" xfId="0" applyFont="1" applyFill="1" applyBorder="1" applyAlignment="1">
      <alignment horizontal="left" vertical="center" indent="1"/>
    </xf>
    <xf numFmtId="0" fontId="36" fillId="5" borderId="0" xfId="0" applyFont="1" applyFill="1" applyBorder="1" applyAlignment="1">
      <alignment vertical="center"/>
    </xf>
    <xf numFmtId="0" fontId="36" fillId="5" borderId="15" xfId="0" applyFont="1" applyFill="1" applyBorder="1" applyAlignment="1">
      <alignment horizontal="right" vertical="center"/>
    </xf>
    <xf numFmtId="0" fontId="36" fillId="5" borderId="15" xfId="0" applyFont="1" applyFill="1" applyBorder="1" applyAlignment="1">
      <alignment horizontal="left" vertical="center" indent="1"/>
    </xf>
    <xf numFmtId="0" fontId="36" fillId="5" borderId="15" xfId="0" applyFont="1" applyFill="1" applyBorder="1" applyAlignment="1">
      <alignment vertical="center"/>
    </xf>
    <xf numFmtId="0" fontId="42" fillId="2" borderId="0" xfId="0" applyFont="1" applyFill="1" applyAlignment="1">
      <alignment horizontal="left" vertical="center" indent="1"/>
    </xf>
    <xf numFmtId="0" fontId="43" fillId="2" borderId="0" xfId="0" applyFont="1" applyFill="1" applyAlignment="1">
      <alignment horizontal="left" vertical="center" indent="1"/>
    </xf>
    <xf numFmtId="0" fontId="27" fillId="2" borderId="0" xfId="0" applyFont="1" applyFill="1" applyAlignment="1">
      <alignment horizontal="center" vertical="center"/>
    </xf>
    <xf numFmtId="0" fontId="50" fillId="2" borderId="0" xfId="0" applyFont="1" applyFill="1" applyAlignment="1">
      <alignment horizontal="left" vertical="center" indent="1"/>
    </xf>
    <xf numFmtId="0" fontId="44" fillId="2" borderId="0" xfId="0" applyFont="1" applyFill="1" applyAlignment="1">
      <alignment horizontal="left" vertical="center" indent="1"/>
    </xf>
    <xf numFmtId="0" fontId="27" fillId="2" borderId="0" xfId="0" applyFont="1" applyFill="1" applyAlignment="1">
      <alignment horizontal="left" vertical="center" indent="1"/>
    </xf>
    <xf numFmtId="0" fontId="27" fillId="0" borderId="0" xfId="0" applyFont="1" applyFill="1" applyAlignment="1">
      <alignment vertical="center"/>
    </xf>
    <xf numFmtId="0" fontId="27" fillId="0" borderId="0" xfId="0" applyFont="1" applyFill="1" applyAlignment="1">
      <alignment horizontal="center" vertical="center"/>
    </xf>
    <xf numFmtId="185" fontId="5" fillId="6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" fillId="4" borderId="0" xfId="0" applyFont="1" applyFill="1" applyAlignment="1" applyProtection="1">
      <alignment/>
      <protection locked="0"/>
    </xf>
    <xf numFmtId="0" fontId="3" fillId="6" borderId="0" xfId="0" applyFont="1" applyFill="1" applyAlignment="1" applyProtection="1">
      <alignment/>
      <protection locked="0"/>
    </xf>
    <xf numFmtId="0" fontId="13" fillId="7" borderId="0" xfId="0" applyFont="1" applyFill="1" applyAlignment="1" applyProtection="1">
      <alignment/>
      <protection locked="0"/>
    </xf>
    <xf numFmtId="0" fontId="0" fillId="7" borderId="0" xfId="0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0" fillId="8" borderId="0" xfId="0" applyFill="1" applyAlignment="1" applyProtection="1">
      <alignment/>
      <protection locked="0"/>
    </xf>
    <xf numFmtId="0" fontId="13" fillId="9" borderId="0" xfId="0" applyFont="1" applyFill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5" fillId="10" borderId="0" xfId="0" applyFont="1" applyFill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8" fillId="8" borderId="0" xfId="0" applyFont="1" applyFill="1" applyAlignment="1" applyProtection="1">
      <alignment/>
      <protection locked="0"/>
    </xf>
    <xf numFmtId="0" fontId="18" fillId="10" borderId="0" xfId="0" applyFont="1" applyFill="1" applyAlignment="1" applyProtection="1">
      <alignment/>
      <protection locked="0"/>
    </xf>
    <xf numFmtId="0" fontId="3" fillId="1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13" fillId="0" borderId="0" xfId="0" applyFont="1" applyFill="1" applyAlignment="1" applyProtection="1">
      <alignment/>
      <protection locked="0"/>
    </xf>
    <xf numFmtId="0" fontId="18" fillId="9" borderId="0" xfId="0" applyFont="1" applyFill="1" applyAlignment="1" applyProtection="1">
      <alignment/>
      <protection locked="0"/>
    </xf>
    <xf numFmtId="0" fontId="20" fillId="10" borderId="0" xfId="0" applyFont="1" applyFill="1" applyAlignment="1" applyProtection="1">
      <alignment/>
      <protection locked="0"/>
    </xf>
    <xf numFmtId="0" fontId="13" fillId="10" borderId="0" xfId="0" applyFont="1" applyFill="1" applyAlignment="1" applyProtection="1">
      <alignment/>
      <protection locked="0"/>
    </xf>
    <xf numFmtId="0" fontId="3" fillId="0" borderId="0" xfId="0" applyFont="1" applyAlignment="1" applyProtection="1" quotePrefix="1">
      <alignment/>
      <protection locked="0"/>
    </xf>
    <xf numFmtId="0" fontId="20" fillId="10" borderId="0" xfId="0" applyFont="1" applyFill="1" applyAlignment="1" applyProtection="1">
      <alignment horizontal="center" vertical="center"/>
      <protection locked="0"/>
    </xf>
    <xf numFmtId="0" fontId="13" fillId="9" borderId="0" xfId="0" applyFont="1" applyFill="1" applyAlignment="1" applyProtection="1">
      <alignment vertical="center"/>
      <protection locked="0"/>
    </xf>
    <xf numFmtId="0" fontId="4" fillId="0" borderId="0" xfId="0" applyFon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187" fontId="0" fillId="0" borderId="0" xfId="0" applyNumberFormat="1" applyFill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185" fontId="0" fillId="0" borderId="0" xfId="0" applyNumberForma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88" fontId="6" fillId="0" borderId="0" xfId="0" applyNumberFormat="1" applyFont="1" applyFill="1" applyAlignment="1" applyProtection="1">
      <alignment/>
      <protection locked="0"/>
    </xf>
    <xf numFmtId="188" fontId="23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84" fontId="0" fillId="0" borderId="0" xfId="0" applyNumberFormat="1" applyAlignment="1" applyProtection="1">
      <alignment/>
      <protection locked="0"/>
    </xf>
    <xf numFmtId="188" fontId="6" fillId="0" borderId="0" xfId="0" applyNumberFormat="1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87" fontId="5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hidden="1"/>
    </xf>
    <xf numFmtId="184" fontId="5" fillId="6" borderId="0" xfId="0" applyNumberFormat="1" applyFont="1" applyFill="1" applyAlignment="1" applyProtection="1">
      <alignment/>
      <protection hidden="1"/>
    </xf>
    <xf numFmtId="186" fontId="5" fillId="6" borderId="0" xfId="0" applyNumberFormat="1" applyFont="1" applyFill="1" applyAlignment="1" applyProtection="1">
      <alignment/>
      <protection hidden="1"/>
    </xf>
    <xf numFmtId="0" fontId="7" fillId="6" borderId="0" xfId="0" applyFont="1" applyFill="1" applyAlignment="1" applyProtection="1">
      <alignment/>
      <protection hidden="1"/>
    </xf>
    <xf numFmtId="0" fontId="8" fillId="6" borderId="0" xfId="0" applyFont="1" applyFill="1" applyAlignment="1" applyProtection="1">
      <alignment/>
      <protection hidden="1"/>
    </xf>
    <xf numFmtId="0" fontId="4" fillId="6" borderId="0" xfId="0" applyFont="1" applyFill="1" applyAlignment="1" applyProtection="1">
      <alignment/>
      <protection hidden="1"/>
    </xf>
    <xf numFmtId="0" fontId="5" fillId="6" borderId="0" xfId="0" applyFont="1" applyFill="1" applyAlignment="1" applyProtection="1">
      <alignment/>
      <protection hidden="1"/>
    </xf>
    <xf numFmtId="184" fontId="4" fillId="6" borderId="0" xfId="0" applyNumberFormat="1" applyFont="1" applyFill="1" applyAlignment="1" applyProtection="1">
      <alignment/>
      <protection hidden="1"/>
    </xf>
    <xf numFmtId="185" fontId="5" fillId="6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86" fontId="4" fillId="6" borderId="0" xfId="0" applyNumberFormat="1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87" fontId="5" fillId="6" borderId="0" xfId="0" applyNumberFormat="1" applyFont="1" applyFill="1" applyAlignment="1" applyProtection="1">
      <alignment/>
      <protection hidden="1"/>
    </xf>
    <xf numFmtId="191" fontId="5" fillId="6" borderId="0" xfId="0" applyNumberFormat="1" applyFont="1" applyFill="1" applyAlignment="1" applyProtection="1">
      <alignment horizontal="right"/>
      <protection hidden="1"/>
    </xf>
    <xf numFmtId="191" fontId="5" fillId="6" borderId="0" xfId="0" applyNumberFormat="1" applyFont="1" applyFill="1" applyAlignment="1" applyProtection="1">
      <alignment/>
      <protection hidden="1"/>
    </xf>
    <xf numFmtId="0" fontId="51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/>
      <protection locked="0"/>
    </xf>
    <xf numFmtId="0" fontId="54" fillId="4" borderId="0" xfId="0" applyFont="1" applyFill="1" applyAlignment="1" applyProtection="1">
      <alignment/>
      <protection locked="0"/>
    </xf>
    <xf numFmtId="0" fontId="25" fillId="5" borderId="13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25" fillId="5" borderId="12" xfId="0" applyFont="1" applyFill="1" applyBorder="1" applyAlignment="1">
      <alignment horizontal="center" vertical="center"/>
    </xf>
    <xf numFmtId="0" fontId="25" fillId="5" borderId="14" xfId="0" applyFont="1" applyFill="1" applyBorder="1" applyAlignment="1">
      <alignment horizontal="center" vertical="center"/>
    </xf>
    <xf numFmtId="0" fontId="25" fillId="5" borderId="12" xfId="0" applyFont="1" applyFill="1" applyBorder="1" applyAlignment="1">
      <alignment horizontal="center" vertical="center" wrapText="1"/>
    </xf>
    <xf numFmtId="0" fontId="47" fillId="2" borderId="10" xfId="0" applyFont="1" applyFill="1" applyBorder="1" applyAlignment="1">
      <alignment horizontal="center" vertical="center"/>
    </xf>
    <xf numFmtId="0" fontId="47" fillId="2" borderId="14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/>
    </xf>
    <xf numFmtId="0" fontId="47" fillId="2" borderId="8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35" fillId="2" borderId="15" xfId="0" applyFont="1" applyFill="1" applyBorder="1" applyAlignment="1">
      <alignment horizontal="left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/>
    </xf>
    <xf numFmtId="0" fontId="25" fillId="5" borderId="11" xfId="0" applyFont="1" applyFill="1" applyBorder="1" applyAlignment="1">
      <alignment horizontal="center" vertical="center"/>
    </xf>
    <xf numFmtId="0" fontId="25" fillId="5" borderId="13" xfId="0" applyFont="1" applyFill="1" applyBorder="1" applyAlignment="1">
      <alignment horizontal="center" vertical="center"/>
    </xf>
    <xf numFmtId="0" fontId="25" fillId="5" borderId="16" xfId="0" applyFont="1" applyFill="1" applyBorder="1" applyAlignment="1">
      <alignment horizontal="center" vertical="center"/>
    </xf>
    <xf numFmtId="0" fontId="25" fillId="5" borderId="9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/>
    </xf>
    <xf numFmtId="0" fontId="25" fillId="5" borderId="10" xfId="0" applyFont="1" applyFill="1" applyBorder="1" applyAlignment="1">
      <alignment horizontal="center" vertical="center" wrapText="1"/>
    </xf>
    <xf numFmtId="0" fontId="25" fillId="5" borderId="14" xfId="0" applyFont="1" applyFill="1" applyBorder="1" applyAlignment="1">
      <alignment horizontal="center" vertical="center" wrapText="1"/>
    </xf>
    <xf numFmtId="0" fontId="25" fillId="5" borderId="16" xfId="0" applyFont="1" applyFill="1" applyBorder="1" applyAlignment="1">
      <alignment horizontal="center" vertical="center" wrapText="1"/>
    </xf>
    <xf numFmtId="0" fontId="25" fillId="5" borderId="17" xfId="0" applyFont="1" applyFill="1" applyBorder="1" applyAlignment="1">
      <alignment horizontal="center" vertical="center" wrapText="1"/>
    </xf>
    <xf numFmtId="0" fontId="33" fillId="5" borderId="8" xfId="0" applyFont="1" applyFill="1" applyBorder="1" applyAlignment="1">
      <alignment horizontal="center" vertical="center" wrapText="1"/>
    </xf>
    <xf numFmtId="0" fontId="33" fillId="5" borderId="11" xfId="0" applyFont="1" applyFill="1" applyBorder="1" applyAlignment="1">
      <alignment horizontal="center" vertical="center" wrapText="1"/>
    </xf>
    <xf numFmtId="0" fontId="33" fillId="5" borderId="13" xfId="0" applyFont="1" applyFill="1" applyBorder="1" applyAlignment="1">
      <alignment horizontal="center" vertical="center" wrapText="1"/>
    </xf>
    <xf numFmtId="0" fontId="25" fillId="5" borderId="18" xfId="0" applyFont="1" applyFill="1" applyBorder="1" applyAlignment="1">
      <alignment horizontal="center" vertical="center" wrapText="1"/>
    </xf>
    <xf numFmtId="0" fontId="25" fillId="5" borderId="2" xfId="0" applyFont="1" applyFill="1" applyBorder="1" applyAlignment="1">
      <alignment horizontal="center" vertical="center" wrapText="1"/>
    </xf>
    <xf numFmtId="0" fontId="25" fillId="5" borderId="19" xfId="0" applyFont="1" applyFill="1" applyBorder="1" applyAlignment="1">
      <alignment horizontal="center" vertical="center" wrapText="1"/>
    </xf>
    <xf numFmtId="0" fontId="25" fillId="5" borderId="8" xfId="0" applyFont="1" applyFill="1" applyBorder="1" applyAlignment="1">
      <alignment horizontal="center" vertical="center" wrapText="1"/>
    </xf>
    <xf numFmtId="0" fontId="13" fillId="9" borderId="0" xfId="0" applyFont="1" applyFill="1" applyAlignment="1" applyProtection="1">
      <alignment horizontal="center" vertical="center"/>
      <protection locked="0"/>
    </xf>
    <xf numFmtId="184" fontId="4" fillId="6" borderId="0" xfId="0" applyNumberFormat="1" applyFont="1" applyFill="1" applyAlignment="1" applyProtection="1">
      <alignment/>
      <protection hidden="1"/>
    </xf>
    <xf numFmtId="0" fontId="1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3" fillId="9" borderId="0" xfId="0" applyFont="1" applyFill="1" applyAlignment="1" applyProtection="1">
      <alignment/>
      <protection locked="0"/>
    </xf>
    <xf numFmtId="0" fontId="38" fillId="2" borderId="11" xfId="0" applyFont="1" applyFill="1" applyBorder="1" applyAlignment="1">
      <alignment horizontal="left" vertical="center"/>
    </xf>
    <xf numFmtId="0" fontId="38" fillId="2" borderId="13" xfId="0" applyFont="1" applyFill="1" applyBorder="1" applyAlignment="1">
      <alignment horizontal="left" vertical="center"/>
    </xf>
    <xf numFmtId="0" fontId="38" fillId="2" borderId="11" xfId="0" applyFont="1" applyFill="1" applyBorder="1" applyAlignment="1">
      <alignment horizontal="center" vertical="center"/>
    </xf>
    <xf numFmtId="0" fontId="38" fillId="2" borderId="13" xfId="0" applyFont="1" applyFill="1" applyBorder="1" applyAlignment="1">
      <alignment horizontal="center" vertical="center"/>
    </xf>
    <xf numFmtId="0" fontId="36" fillId="2" borderId="8" xfId="0" applyFont="1" applyFill="1" applyBorder="1" applyAlignment="1">
      <alignment horizontal="center" vertical="center"/>
    </xf>
    <xf numFmtId="0" fontId="36" fillId="2" borderId="13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left" vertical="center"/>
    </xf>
    <xf numFmtId="0" fontId="36" fillId="2" borderId="8" xfId="0" applyFont="1" applyFill="1" applyBorder="1" applyAlignment="1">
      <alignment horizontal="left" vertical="center"/>
    </xf>
    <xf numFmtId="0" fontId="36" fillId="2" borderId="13" xfId="0" applyFont="1" applyFill="1" applyBorder="1" applyAlignment="1">
      <alignment horizontal="left" vertical="center"/>
    </xf>
    <xf numFmtId="0" fontId="36" fillId="2" borderId="8" xfId="0" applyFont="1" applyFill="1" applyBorder="1" applyAlignment="1">
      <alignment horizontal="center" vertical="center" wrapText="1"/>
    </xf>
    <xf numFmtId="0" fontId="36" fillId="2" borderId="13" xfId="0" applyFont="1" applyFill="1" applyBorder="1" applyAlignment="1">
      <alignment horizontal="center" vertical="center" wrapText="1"/>
    </xf>
    <xf numFmtId="0" fontId="36" fillId="2" borderId="11" xfId="0" applyFont="1" applyFill="1" applyBorder="1" applyAlignment="1">
      <alignment horizontal="left" vertical="center"/>
    </xf>
    <xf numFmtId="0" fontId="35" fillId="2" borderId="6" xfId="0" applyFont="1" applyFill="1" applyBorder="1" applyAlignment="1">
      <alignment horizontal="left" vertical="center"/>
    </xf>
    <xf numFmtId="0" fontId="36" fillId="2" borderId="11" xfId="0" applyFont="1" applyFill="1" applyBorder="1" applyAlignment="1">
      <alignment horizontal="center" vertical="center"/>
    </xf>
    <xf numFmtId="0" fontId="38" fillId="2" borderId="8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/>
    </xf>
    <xf numFmtId="0" fontId="25" fillId="2" borderId="14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left" vertical="center"/>
    </xf>
    <xf numFmtId="0" fontId="35" fillId="2" borderId="5" xfId="0" applyFont="1" applyFill="1" applyBorder="1" applyAlignment="1">
      <alignment horizontal="left" vertical="center"/>
    </xf>
    <xf numFmtId="0" fontId="35" fillId="2" borderId="20" xfId="0" applyFont="1" applyFill="1" applyBorder="1" applyAlignment="1">
      <alignment horizontal="left" vertical="center"/>
    </xf>
    <xf numFmtId="0" fontId="47" fillId="2" borderId="8" xfId="0" applyFont="1" applyFill="1" applyBorder="1" applyAlignment="1">
      <alignment horizontal="center" vertical="center"/>
    </xf>
    <xf numFmtId="0" fontId="47" fillId="2" borderId="13" xfId="0" applyFont="1" applyFill="1" applyBorder="1" applyAlignment="1">
      <alignment horizontal="center" vertical="center"/>
    </xf>
    <xf numFmtId="0" fontId="36" fillId="2" borderId="10" xfId="0" applyFont="1" applyFill="1" applyBorder="1" applyAlignment="1">
      <alignment horizontal="center" vertical="center"/>
    </xf>
    <xf numFmtId="0" fontId="36" fillId="2" borderId="14" xfId="0" applyFont="1" applyFill="1" applyBorder="1" applyAlignment="1">
      <alignment horizontal="center" vertical="center"/>
    </xf>
    <xf numFmtId="0" fontId="25" fillId="2" borderId="8" xfId="0" applyFont="1" applyFill="1" applyBorder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47" fillId="2" borderId="11" xfId="0" applyFont="1" applyFill="1" applyBorder="1" applyAlignment="1">
      <alignment horizontal="center" vertical="center"/>
    </xf>
    <xf numFmtId="0" fontId="47" fillId="2" borderId="5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left" vertical="center"/>
    </xf>
    <xf numFmtId="0" fontId="25" fillId="2" borderId="8" xfId="0" applyFont="1" applyFill="1" applyBorder="1" applyAlignment="1">
      <alignment horizontal="left" vertical="center" wrapText="1"/>
    </xf>
    <xf numFmtId="0" fontId="25" fillId="2" borderId="11" xfId="0" applyFont="1" applyFill="1" applyBorder="1" applyAlignment="1">
      <alignment horizontal="left" vertical="center" wrapText="1"/>
    </xf>
    <xf numFmtId="0" fontId="25" fillId="2" borderId="13" xfId="0" applyFont="1" applyFill="1" applyBorder="1" applyAlignment="1">
      <alignment horizontal="left" vertical="center"/>
    </xf>
    <xf numFmtId="0" fontId="47" fillId="2" borderId="7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</cellXfs>
  <cellStyles count="26">
    <cellStyle name="Normal" xfId="0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5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Sheet1" xfId="16"/>
    <cellStyle name="??&amp;O?&amp;H?_x0008__x000F__x0007_?_x0007__x0001__x0001__x0000__x0002__x0001_(_x0002_c _x0000__x0000__x0000_?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C:\WINDOWS\COUNTRY.SYS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7"/>
    <cellStyle name="category" xfId="18"/>
    <cellStyle name="Grey" xfId="19"/>
    <cellStyle name="HEADER" xfId="20"/>
    <cellStyle name="Header1" xfId="21"/>
    <cellStyle name="Header2" xfId="22"/>
    <cellStyle name="Input [yellow]" xfId="23"/>
    <cellStyle name="Model" xfId="24"/>
    <cellStyle name="Normal - Style1" xfId="25"/>
    <cellStyle name="Normal_&quot;CANCEL&quot; Volume Detail " xfId="26"/>
    <cellStyle name="Percent [2]" xfId="27"/>
    <cellStyle name="PSChar" xfId="28"/>
    <cellStyle name="PSSpacer" xfId="29"/>
    <cellStyle name="subhead" xfId="30"/>
    <cellStyle name="Percent" xfId="31"/>
    <cellStyle name="Hyperlink" xfId="32"/>
    <cellStyle name="Currency" xfId="33"/>
    <cellStyle name="Currency [0]" xfId="34"/>
    <cellStyle name="콤마 [0]_10월2주 " xfId="35"/>
    <cellStyle name="콤마_10월2주 " xfId="36"/>
    <cellStyle name="Comma" xfId="37"/>
    <cellStyle name="Comma [0]" xfId="38"/>
    <cellStyle name="Followed Hyperlink" xfId="3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4425"/>
          <c:w val="0.93375"/>
          <c:h val="0.9295"/>
        </c:manualLayout>
      </c:layout>
      <c:scatterChart>
        <c:scatterStyle val="smooth"/>
        <c:varyColors val="0"/>
        <c:ser>
          <c:idx val="0"/>
          <c:order val="0"/>
          <c:tx>
            <c:v>Contorl-to-output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Flyback!$B$131:$B$150</c:f>
              <c:numCach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Flyback!$C$131:$C$150</c:f>
              <c:numCache>
                <c:ptCount val="20"/>
                <c:pt idx="0">
                  <c:v>11.352805237410735</c:v>
                </c:pt>
                <c:pt idx="1">
                  <c:v>9.1821720304008</c:v>
                </c:pt>
                <c:pt idx="2">
                  <c:v>6.087564435846763</c:v>
                </c:pt>
                <c:pt idx="3">
                  <c:v>2.5893298168500554</c:v>
                </c:pt>
                <c:pt idx="4">
                  <c:v>-1.225395854382865</c:v>
                </c:pt>
                <c:pt idx="5">
                  <c:v>-5.219902180049982</c:v>
                </c:pt>
                <c:pt idx="6">
                  <c:v>-9.049146812748173</c:v>
                </c:pt>
                <c:pt idx="7">
                  <c:v>-13.076147863409215</c:v>
                </c:pt>
                <c:pt idx="8">
                  <c:v>-16.915792044228294</c:v>
                </c:pt>
                <c:pt idx="9">
                  <c:v>-20.679730281317642</c:v>
                </c:pt>
                <c:pt idx="10">
                  <c:v>-24.177994964195285</c:v>
                </c:pt>
                <c:pt idx="11">
                  <c:v>-26.913024661752733</c:v>
                </c:pt>
                <c:pt idx="12">
                  <c:v>-28.880996551365627</c:v>
                </c:pt>
                <c:pt idx="13">
                  <c:v>-29.81989094555911</c:v>
                </c:pt>
                <c:pt idx="14">
                  <c:v>-29.906628025560032</c:v>
                </c:pt>
                <c:pt idx="15">
                  <c:v>-29.113503465495963</c:v>
                </c:pt>
                <c:pt idx="16">
                  <c:v>-27.435815780861823</c:v>
                </c:pt>
                <c:pt idx="17">
                  <c:v>-24.72038899292737</c:v>
                </c:pt>
                <c:pt idx="18">
                  <c:v>-21.428202685582157</c:v>
                </c:pt>
                <c:pt idx="19">
                  <c:v>-17.710587020702874</c:v>
                </c:pt>
              </c:numCache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Flyback!$B$131:$B$150</c:f>
              <c:numCach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Flyback!$D$131:$D$150</c:f>
              <c:numCache>
                <c:ptCount val="20"/>
                <c:pt idx="0">
                  <c:v>44.16968863742724</c:v>
                </c:pt>
                <c:pt idx="1">
                  <c:v>40.29745816312661</c:v>
                </c:pt>
                <c:pt idx="2">
                  <c:v>36.22605758000311</c:v>
                </c:pt>
                <c:pt idx="3">
                  <c:v>32.307055142854146</c:v>
                </c:pt>
                <c:pt idx="4">
                  <c:v>28.360875451115845</c:v>
                </c:pt>
                <c:pt idx="5">
                  <c:v>24.447127525229423</c:v>
                </c:pt>
                <c:pt idx="6">
                  <c:v>20.945224666983457</c:v>
                </c:pt>
                <c:pt idx="7">
                  <c:v>17.719546525666228</c:v>
                </c:pt>
                <c:pt idx="8">
                  <c:v>15.338995051171494</c:v>
                </c:pt>
                <c:pt idx="9">
                  <c:v>13.793931397966485</c:v>
                </c:pt>
                <c:pt idx="10">
                  <c:v>12.939313953339015</c:v>
                </c:pt>
                <c:pt idx="11">
                  <c:v>12.470888714346453</c:v>
                </c:pt>
                <c:pt idx="12">
                  <c:v>12.009943105343035</c:v>
                </c:pt>
                <c:pt idx="13">
                  <c:v>11.28554507571463</c:v>
                </c:pt>
                <c:pt idx="14">
                  <c:v>9.923014869830455</c:v>
                </c:pt>
                <c:pt idx="15">
                  <c:v>7.645375486813581</c:v>
                </c:pt>
                <c:pt idx="16">
                  <c:v>4.714350732023184</c:v>
                </c:pt>
                <c:pt idx="17">
                  <c:v>1.1037419249960472</c:v>
                </c:pt>
                <c:pt idx="18">
                  <c:v>-2.6467705543879982</c:v>
                </c:pt>
                <c:pt idx="19">
                  <c:v>-6.577891493734896</c:v>
                </c:pt>
              </c:numCache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Flyback!$B$131:$B$150</c:f>
              <c:numCach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Flyback!$E$131:$E$150</c:f>
              <c:numCache>
                <c:ptCount val="20"/>
                <c:pt idx="0">
                  <c:v>55.52249387483798</c:v>
                </c:pt>
                <c:pt idx="1">
                  <c:v>49.47963019352741</c:v>
                </c:pt>
                <c:pt idx="2">
                  <c:v>42.31362201584987</c:v>
                </c:pt>
                <c:pt idx="3">
                  <c:v>34.8963849597042</c:v>
                </c:pt>
                <c:pt idx="4">
                  <c:v>27.13547959673298</c:v>
                </c:pt>
                <c:pt idx="5">
                  <c:v>19.22722534517944</c:v>
                </c:pt>
                <c:pt idx="6">
                  <c:v>11.896077854235283</c:v>
                </c:pt>
                <c:pt idx="7">
                  <c:v>4.643398662257013</c:v>
                </c:pt>
                <c:pt idx="8">
                  <c:v>-1.5767969930567993</c:v>
                </c:pt>
                <c:pt idx="9">
                  <c:v>-6.885798883351157</c:v>
                </c:pt>
                <c:pt idx="10">
                  <c:v>-11.23868101085627</c:v>
                </c:pt>
                <c:pt idx="11">
                  <c:v>-14.44213594740628</c:v>
                </c:pt>
                <c:pt idx="12">
                  <c:v>-16.871053446022593</c:v>
                </c:pt>
                <c:pt idx="13">
                  <c:v>-18.53434586984448</c:v>
                </c:pt>
                <c:pt idx="14">
                  <c:v>-19.98361315572958</c:v>
                </c:pt>
                <c:pt idx="15">
                  <c:v>-21.468127978682382</c:v>
                </c:pt>
                <c:pt idx="16">
                  <c:v>-22.72146504883864</c:v>
                </c:pt>
                <c:pt idx="17">
                  <c:v>-23.61664706793132</c:v>
                </c:pt>
                <c:pt idx="18">
                  <c:v>-24.074973239970156</c:v>
                </c:pt>
                <c:pt idx="19">
                  <c:v>-24.28847851443777</c:v>
                </c:pt>
              </c:numCache>
            </c:numRef>
          </c:yVal>
          <c:smooth val="1"/>
        </c:ser>
        <c:axId val="18469191"/>
        <c:axId val="32004992"/>
      </c:scatterChart>
      <c:valAx>
        <c:axId val="18469191"/>
        <c:scaling>
          <c:logBase val="10"/>
          <c:orientation val="minMax"/>
          <c:max val="100000"/>
          <c:min val="10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crossAx val="32004992"/>
        <c:crosses val="autoZero"/>
        <c:crossBetween val="midCat"/>
        <c:dispUnits/>
        <c:majorUnit val="10"/>
        <c:minorUnit val="10"/>
      </c:valAx>
      <c:valAx>
        <c:axId val="32004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돋움"/>
                    <a:ea typeface="돋움"/>
                    <a:cs typeface="돋움"/>
                  </a:rPr>
                  <a:t>Gain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8469191"/>
        <c:crosses val="autoZero"/>
        <c:crossBetween val="midCat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0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04325"/>
          <c:w val="0.92425"/>
          <c:h val="0.9135"/>
        </c:manualLayout>
      </c:layout>
      <c:scatterChart>
        <c:scatterStyle val="smooth"/>
        <c:varyColors val="0"/>
        <c:ser>
          <c:idx val="0"/>
          <c:order val="0"/>
          <c:tx>
            <c:v>Control-to-output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Flyback!$G$131:$G$150</c:f>
              <c:numCach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Flyback!$H$131:$H$150</c:f>
              <c:numCache>
                <c:ptCount val="20"/>
                <c:pt idx="0">
                  <c:v>-41.89916049590722</c:v>
                </c:pt>
                <c:pt idx="1">
                  <c:v>-54.35599717306675</c:v>
                </c:pt>
                <c:pt idx="2">
                  <c:v>-65.55806479572989</c:v>
                </c:pt>
                <c:pt idx="3">
                  <c:v>-73.38289079872246</c:v>
                </c:pt>
                <c:pt idx="4">
                  <c:v>-78.47099581253215</c:v>
                </c:pt>
                <c:pt idx="5">
                  <c:v>-81.27594222658077</c:v>
                </c:pt>
                <c:pt idx="6">
                  <c:v>-82.16279603619239</c:v>
                </c:pt>
                <c:pt idx="7">
                  <c:v>-81.40216614318895</c:v>
                </c:pt>
                <c:pt idx="8">
                  <c:v>-78.89884413755483</c:v>
                </c:pt>
                <c:pt idx="9">
                  <c:v>-74.22122838161243</c:v>
                </c:pt>
                <c:pt idx="10">
                  <c:v>-66.92804252283308</c:v>
                </c:pt>
                <c:pt idx="11">
                  <c:v>-58.041741754228156</c:v>
                </c:pt>
                <c:pt idx="12">
                  <c:v>-48.706677733890224</c:v>
                </c:pt>
                <c:pt idx="13">
                  <c:v>-42.814748484523754</c:v>
                </c:pt>
                <c:pt idx="14">
                  <c:v>-42.25259152256774</c:v>
                </c:pt>
                <c:pt idx="15">
                  <c:v>-47.52697797160049</c:v>
                </c:pt>
                <c:pt idx="16">
                  <c:v>-56.192804600620434</c:v>
                </c:pt>
                <c:pt idx="17">
                  <c:v>-65.99836478839352</c:v>
                </c:pt>
                <c:pt idx="18">
                  <c:v>-73.84893416587681</c:v>
                </c:pt>
                <c:pt idx="19">
                  <c:v>-79.57031742134438</c:v>
                </c:pt>
              </c:numCache>
            </c:numRef>
          </c:yVal>
          <c:smooth val="1"/>
        </c:ser>
        <c:ser>
          <c:idx val="1"/>
          <c:order val="1"/>
          <c:tx>
            <c:v>Compensator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Flyback!$G$131:$G$150</c:f>
              <c:numCach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Flyback!$I$131:$I$150</c:f>
              <c:numCache>
                <c:ptCount val="20"/>
                <c:pt idx="0">
                  <c:v>-88.59892240029829</c:v>
                </c:pt>
                <c:pt idx="1">
                  <c:v>-87.81155964875413</c:v>
                </c:pt>
                <c:pt idx="2">
                  <c:v>-86.5016316581319</c:v>
                </c:pt>
                <c:pt idx="3">
                  <c:v>-84.50200926501995</c:v>
                </c:pt>
                <c:pt idx="4">
                  <c:v>-81.32065430150723</c:v>
                </c:pt>
                <c:pt idx="5">
                  <c:v>-76.30378735786367</c:v>
                </c:pt>
                <c:pt idx="6">
                  <c:v>-69.25311152465754</c:v>
                </c:pt>
                <c:pt idx="7">
                  <c:v>-59.12661496234143</c:v>
                </c:pt>
                <c:pt idx="8">
                  <c:v>-47.64981504467393</c:v>
                </c:pt>
                <c:pt idx="9">
                  <c:v>-36.77547394129206</c:v>
                </c:pt>
                <c:pt idx="10">
                  <c:v>-29.1716976629951</c:v>
                </c:pt>
                <c:pt idx="11">
                  <c:v>-26.348784979012343</c:v>
                </c:pt>
                <c:pt idx="12">
                  <c:v>-28.26402597012263</c:v>
                </c:pt>
                <c:pt idx="13">
                  <c:v>-34.73525530149187</c:v>
                </c:pt>
                <c:pt idx="14">
                  <c:v>-45.04143977049428</c:v>
                </c:pt>
                <c:pt idx="15">
                  <c:v>-56.981805820949425</c:v>
                </c:pt>
                <c:pt idx="16">
                  <c:v>-67.09566192797436</c:v>
                </c:pt>
                <c:pt idx="17">
                  <c:v>-75.1123950082991</c:v>
                </c:pt>
                <c:pt idx="18">
                  <c:v>-80.39489254645336</c:v>
                </c:pt>
                <c:pt idx="19">
                  <c:v>-83.90806656549752</c:v>
                </c:pt>
              </c:numCache>
            </c:numRef>
          </c:yVal>
          <c:smooth val="1"/>
        </c:ser>
        <c:ser>
          <c:idx val="2"/>
          <c:order val="2"/>
          <c:tx>
            <c:v>T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Flyback!$G$131:$G$150</c:f>
              <c:numCache>
                <c:ptCount val="20"/>
                <c:pt idx="0">
                  <c:v>16</c:v>
                </c:pt>
                <c:pt idx="1">
                  <c:v>25</c:v>
                </c:pt>
                <c:pt idx="2">
                  <c:v>40</c:v>
                </c:pt>
                <c:pt idx="3">
                  <c:v>63</c:v>
                </c:pt>
                <c:pt idx="4">
                  <c:v>100</c:v>
                </c:pt>
                <c:pt idx="5">
                  <c:v>160</c:v>
                </c:pt>
                <c:pt idx="6">
                  <c:v>250</c:v>
                </c:pt>
                <c:pt idx="7">
                  <c:v>400</c:v>
                </c:pt>
                <c:pt idx="8">
                  <c:v>630</c:v>
                </c:pt>
                <c:pt idx="9">
                  <c:v>1000</c:v>
                </c:pt>
                <c:pt idx="10">
                  <c:v>1600</c:v>
                </c:pt>
                <c:pt idx="11">
                  <c:v>2500</c:v>
                </c:pt>
                <c:pt idx="12">
                  <c:v>4000</c:v>
                </c:pt>
                <c:pt idx="13">
                  <c:v>6300</c:v>
                </c:pt>
                <c:pt idx="14">
                  <c:v>10000</c:v>
                </c:pt>
                <c:pt idx="15">
                  <c:v>16000</c:v>
                </c:pt>
                <c:pt idx="16">
                  <c:v>25000</c:v>
                </c:pt>
                <c:pt idx="17">
                  <c:v>40000</c:v>
                </c:pt>
                <c:pt idx="18">
                  <c:v>63000</c:v>
                </c:pt>
                <c:pt idx="19">
                  <c:v>100000</c:v>
                </c:pt>
              </c:numCache>
            </c:numRef>
          </c:xVal>
          <c:yVal>
            <c:numRef>
              <c:f>Flyback!$J$131:$J$150</c:f>
              <c:numCache>
                <c:ptCount val="20"/>
                <c:pt idx="0">
                  <c:v>-130.49808289620552</c:v>
                </c:pt>
                <c:pt idx="1">
                  <c:v>-142.16755682182088</c:v>
                </c:pt>
                <c:pt idx="2">
                  <c:v>-152.0596964538618</c:v>
                </c:pt>
                <c:pt idx="3">
                  <c:v>-157.8849000637424</c:v>
                </c:pt>
                <c:pt idx="4">
                  <c:v>-159.79165011403938</c:v>
                </c:pt>
                <c:pt idx="5">
                  <c:v>-157.57972958444444</c:v>
                </c:pt>
                <c:pt idx="6">
                  <c:v>-151.41590756084992</c:v>
                </c:pt>
                <c:pt idx="7">
                  <c:v>-140.52878110553038</c:v>
                </c:pt>
                <c:pt idx="8">
                  <c:v>-126.54865918222876</c:v>
                </c:pt>
                <c:pt idx="9">
                  <c:v>-110.9967023229045</c:v>
                </c:pt>
                <c:pt idx="10">
                  <c:v>-96.09974018582818</c:v>
                </c:pt>
                <c:pt idx="11">
                  <c:v>-84.3905267332405</c:v>
                </c:pt>
                <c:pt idx="12">
                  <c:v>-76.97070370401286</c:v>
                </c:pt>
                <c:pt idx="13">
                  <c:v>-77.55000378601562</c:v>
                </c:pt>
                <c:pt idx="14">
                  <c:v>-87.29403129306202</c:v>
                </c:pt>
                <c:pt idx="15">
                  <c:v>-104.5087837925499</c:v>
                </c:pt>
                <c:pt idx="16">
                  <c:v>-123.2884665285948</c:v>
                </c:pt>
                <c:pt idx="17">
                  <c:v>-141.1107597966926</c:v>
                </c:pt>
                <c:pt idx="18">
                  <c:v>-154.2438267123302</c:v>
                </c:pt>
                <c:pt idx="19">
                  <c:v>-163.4783839868419</c:v>
                </c:pt>
              </c:numCache>
            </c:numRef>
          </c:yVal>
          <c:smooth val="1"/>
        </c:ser>
        <c:axId val="19609473"/>
        <c:axId val="42267530"/>
      </c:scatterChart>
      <c:valAx>
        <c:axId val="19609473"/>
        <c:scaling>
          <c:logBase val="10"/>
          <c:orientation val="minMax"/>
          <c:min val="10"/>
        </c:scaling>
        <c:axPos val="b"/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2267530"/>
        <c:crosses val="autoZero"/>
        <c:crossBetween val="midCat"/>
        <c:dispUnits/>
      </c:valAx>
      <c:valAx>
        <c:axId val="422675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돋움"/>
                    <a:ea typeface="돋움"/>
                    <a:cs typeface="돋움"/>
                  </a:rPr>
                  <a:t>Phase (degree)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9609473"/>
        <c:crosses val="autoZero"/>
        <c:crossBetween val="midCat"/>
        <c:dispUnits/>
        <c:majorUnit val="3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돋움"/>
          <a:ea typeface="돋움"/>
          <a:cs typeface="돋움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128</xdr:row>
      <xdr:rowOff>66675</xdr:rowOff>
    </xdr:from>
    <xdr:to>
      <xdr:col>9</xdr:col>
      <xdr:colOff>0</xdr:colOff>
      <xdr:row>141</xdr:row>
      <xdr:rowOff>76200</xdr:rowOff>
    </xdr:to>
    <xdr:graphicFrame>
      <xdr:nvGraphicFramePr>
        <xdr:cNvPr id="1" name="Chart 59"/>
        <xdr:cNvGraphicFramePr/>
      </xdr:nvGraphicFramePr>
      <xdr:xfrm>
        <a:off x="323850" y="22355175"/>
        <a:ext cx="5867400" cy="223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141</xdr:row>
      <xdr:rowOff>114300</xdr:rowOff>
    </xdr:from>
    <xdr:to>
      <xdr:col>9</xdr:col>
      <xdr:colOff>28575</xdr:colOff>
      <xdr:row>155</xdr:row>
      <xdr:rowOff>0</xdr:rowOff>
    </xdr:to>
    <xdr:graphicFrame>
      <xdr:nvGraphicFramePr>
        <xdr:cNvPr id="2" name="Chart 60"/>
        <xdr:cNvGraphicFramePr/>
      </xdr:nvGraphicFramePr>
      <xdr:xfrm>
        <a:off x="314325" y="24631650"/>
        <a:ext cx="590550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workbookViewId="0" topLeftCell="A7">
      <selection activeCell="E24" sqref="E24:E26"/>
    </sheetView>
  </sheetViews>
  <sheetFormatPr defaultColWidth="8.88671875" defaultRowHeight="13.5"/>
  <cols>
    <col min="1" max="1" width="3.4453125" style="175" customWidth="1"/>
    <col min="2" max="2" width="31.99609375" style="175" customWidth="1"/>
    <col min="3" max="3" width="8.21484375" style="175" customWidth="1"/>
    <col min="4" max="4" width="4.4453125" style="175" customWidth="1"/>
    <col min="5" max="5" width="3.77734375" style="175" customWidth="1"/>
    <col min="6" max="6" width="3.21484375" style="175" customWidth="1"/>
    <col min="7" max="7" width="7.4453125" style="175" customWidth="1"/>
    <col min="8" max="8" width="2.3359375" style="175" customWidth="1"/>
    <col min="9" max="9" width="7.3359375" style="175" customWidth="1"/>
    <col min="10" max="10" width="2.4453125" style="175" customWidth="1"/>
    <col min="11" max="11" width="5.10546875" style="175" customWidth="1"/>
    <col min="12" max="12" width="12.6640625" style="175" bestFit="1" customWidth="1"/>
    <col min="13" max="16384" width="8.88671875" style="175" customWidth="1"/>
  </cols>
  <sheetData>
    <row r="1" spans="3:8" ht="13.5">
      <c r="C1" s="287" t="s">
        <v>140</v>
      </c>
      <c r="D1" s="288"/>
      <c r="E1" s="288"/>
      <c r="F1" s="288"/>
      <c r="G1" s="288"/>
      <c r="H1" s="288"/>
    </row>
    <row r="2" spans="3:9" ht="13.5">
      <c r="C2" s="288"/>
      <c r="D2" s="288"/>
      <c r="E2" s="288"/>
      <c r="F2" s="288"/>
      <c r="G2" s="288"/>
      <c r="H2" s="288"/>
      <c r="I2" s="175" t="s">
        <v>141</v>
      </c>
    </row>
    <row r="3" spans="3:7" ht="13.5">
      <c r="C3" s="177" t="s">
        <v>1</v>
      </c>
      <c r="D3" s="176" t="s">
        <v>0</v>
      </c>
      <c r="E3" s="176"/>
      <c r="F3" s="176"/>
      <c r="G3" s="176"/>
    </row>
    <row r="4" spans="3:7" ht="13.5">
      <c r="C4" s="178" t="s">
        <v>2</v>
      </c>
      <c r="D4" s="176" t="s">
        <v>12</v>
      </c>
      <c r="E4" s="176"/>
      <c r="F4" s="176"/>
      <c r="G4" s="176"/>
    </row>
    <row r="5" ht="13.5"/>
    <row r="6" spans="1:9" ht="13.5">
      <c r="A6" s="179" t="s">
        <v>34</v>
      </c>
      <c r="B6" s="180"/>
      <c r="C6" s="180"/>
      <c r="D6" s="180"/>
      <c r="E6" s="180"/>
      <c r="F6" s="180"/>
      <c r="G6" s="180"/>
      <c r="H6" s="180"/>
      <c r="I6" s="180"/>
    </row>
    <row r="7" spans="2:12" ht="14.25">
      <c r="B7" s="181" t="s">
        <v>145</v>
      </c>
      <c r="C7" s="1">
        <v>90</v>
      </c>
      <c r="D7" s="182" t="s">
        <v>101</v>
      </c>
      <c r="L7" s="251" t="s">
        <v>375</v>
      </c>
    </row>
    <row r="8" spans="2:12" ht="14.25">
      <c r="B8" s="181" t="s">
        <v>146</v>
      </c>
      <c r="C8" s="1">
        <v>265</v>
      </c>
      <c r="D8" s="182" t="s">
        <v>101</v>
      </c>
      <c r="E8" s="182"/>
      <c r="F8" s="182"/>
      <c r="L8" s="251" t="s">
        <v>376</v>
      </c>
    </row>
    <row r="9" spans="2:12" ht="14.25">
      <c r="B9" s="181" t="s">
        <v>147</v>
      </c>
      <c r="C9" s="1">
        <v>50</v>
      </c>
      <c r="D9" s="182" t="s">
        <v>4</v>
      </c>
      <c r="L9" s="251" t="s">
        <v>377</v>
      </c>
    </row>
    <row r="10" ht="13.5"/>
    <row r="11" spans="2:14" ht="13.5">
      <c r="B11" s="183"/>
      <c r="C11" s="184" t="s">
        <v>48</v>
      </c>
      <c r="D11" s="183"/>
      <c r="E11" s="184" t="s">
        <v>142</v>
      </c>
      <c r="F11" s="183"/>
      <c r="G11" s="184" t="s">
        <v>143</v>
      </c>
      <c r="H11" s="184"/>
      <c r="I11" s="184" t="s">
        <v>144</v>
      </c>
      <c r="N11" s="185"/>
    </row>
    <row r="12" spans="2:14" ht="15">
      <c r="B12" s="181" t="s">
        <v>35</v>
      </c>
      <c r="C12" s="1">
        <v>18</v>
      </c>
      <c r="D12" s="182" t="s">
        <v>3</v>
      </c>
      <c r="E12" s="1">
        <v>2</v>
      </c>
      <c r="F12" s="182" t="s">
        <v>26</v>
      </c>
      <c r="G12" s="174">
        <f aca="true" t="shared" si="0" ref="G12:G17">C12*E12</f>
        <v>36</v>
      </c>
      <c r="H12" s="236" t="s">
        <v>29</v>
      </c>
      <c r="I12" s="174">
        <f aca="true" t="shared" si="1" ref="I12:I17">G12/C$18*100</f>
        <v>100</v>
      </c>
      <c r="J12" s="186" t="s">
        <v>31</v>
      </c>
      <c r="L12" s="175" t="s">
        <v>378</v>
      </c>
      <c r="N12" s="185"/>
    </row>
    <row r="13" spans="2:14" ht="15">
      <c r="B13" s="181" t="s">
        <v>20</v>
      </c>
      <c r="C13" s="1">
        <v>0</v>
      </c>
      <c r="D13" s="182" t="s">
        <v>3</v>
      </c>
      <c r="E13" s="1">
        <v>0</v>
      </c>
      <c r="F13" s="182" t="s">
        <v>25</v>
      </c>
      <c r="G13" s="174">
        <f t="shared" si="0"/>
        <v>0</v>
      </c>
      <c r="H13" s="236" t="s">
        <v>30</v>
      </c>
      <c r="I13" s="174">
        <f t="shared" si="1"/>
        <v>0</v>
      </c>
      <c r="J13" s="186" t="s">
        <v>32</v>
      </c>
      <c r="L13" s="175" t="s">
        <v>379</v>
      </c>
      <c r="N13" s="185"/>
    </row>
    <row r="14" spans="2:14" ht="15">
      <c r="B14" s="181" t="s">
        <v>21</v>
      </c>
      <c r="C14" s="1"/>
      <c r="D14" s="182" t="s">
        <v>3</v>
      </c>
      <c r="E14" s="1"/>
      <c r="F14" s="182" t="s">
        <v>27</v>
      </c>
      <c r="G14" s="174">
        <f t="shared" si="0"/>
        <v>0</v>
      </c>
      <c r="H14" s="236" t="s">
        <v>5</v>
      </c>
      <c r="I14" s="174">
        <f t="shared" si="1"/>
        <v>0</v>
      </c>
      <c r="J14" s="186" t="s">
        <v>33</v>
      </c>
      <c r="L14" s="175" t="s">
        <v>380</v>
      </c>
      <c r="N14" s="185"/>
    </row>
    <row r="15" spans="2:14" ht="15">
      <c r="B15" s="181" t="s">
        <v>22</v>
      </c>
      <c r="C15" s="1"/>
      <c r="D15" s="182" t="s">
        <v>3</v>
      </c>
      <c r="E15" s="1"/>
      <c r="F15" s="182" t="s">
        <v>27</v>
      </c>
      <c r="G15" s="174">
        <f t="shared" si="0"/>
        <v>0</v>
      </c>
      <c r="H15" s="236" t="s">
        <v>29</v>
      </c>
      <c r="I15" s="174">
        <f t="shared" si="1"/>
        <v>0</v>
      </c>
      <c r="J15" s="186" t="s">
        <v>33</v>
      </c>
      <c r="L15" s="175" t="s">
        <v>381</v>
      </c>
      <c r="N15" s="185"/>
    </row>
    <row r="16" spans="2:14" ht="15">
      <c r="B16" s="181" t="s">
        <v>23</v>
      </c>
      <c r="C16" s="1"/>
      <c r="D16" s="182" t="s">
        <v>3</v>
      </c>
      <c r="E16" s="1"/>
      <c r="F16" s="182" t="s">
        <v>27</v>
      </c>
      <c r="G16" s="174">
        <f t="shared" si="0"/>
        <v>0</v>
      </c>
      <c r="H16" s="236" t="s">
        <v>29</v>
      </c>
      <c r="I16" s="174">
        <f t="shared" si="1"/>
        <v>0</v>
      </c>
      <c r="J16" s="186" t="s">
        <v>33</v>
      </c>
      <c r="L16" s="175" t="s">
        <v>382</v>
      </c>
      <c r="N16" s="185"/>
    </row>
    <row r="17" spans="2:14" ht="15">
      <c r="B17" s="181" t="s">
        <v>24</v>
      </c>
      <c r="C17" s="8"/>
      <c r="D17" s="182" t="s">
        <v>9</v>
      </c>
      <c r="E17" s="1"/>
      <c r="F17" s="182" t="s">
        <v>27</v>
      </c>
      <c r="G17" s="174">
        <f t="shared" si="0"/>
        <v>0</v>
      </c>
      <c r="H17" s="236" t="s">
        <v>29</v>
      </c>
      <c r="I17" s="174">
        <f t="shared" si="1"/>
        <v>0</v>
      </c>
      <c r="J17" s="186" t="s">
        <v>33</v>
      </c>
      <c r="L17" s="175" t="s">
        <v>383</v>
      </c>
      <c r="N17" s="185"/>
    </row>
    <row r="18" spans="2:14" ht="13.5">
      <c r="B18" s="186" t="s">
        <v>127</v>
      </c>
      <c r="C18" s="237">
        <f>SUM(G12:G17)</f>
        <v>36</v>
      </c>
      <c r="D18" s="186" t="s">
        <v>28</v>
      </c>
      <c r="L18" s="175" t="s">
        <v>384</v>
      </c>
      <c r="N18" s="185"/>
    </row>
    <row r="19" spans="2:14" ht="13.5">
      <c r="B19" s="181" t="s">
        <v>148</v>
      </c>
      <c r="C19" s="1">
        <v>80</v>
      </c>
      <c r="D19" s="182" t="s">
        <v>6</v>
      </c>
      <c r="L19" s="175" t="s">
        <v>385</v>
      </c>
      <c r="N19" s="185"/>
    </row>
    <row r="20" spans="2:14" ht="13.5">
      <c r="B20" s="186" t="s">
        <v>128</v>
      </c>
      <c r="C20" s="237">
        <f>Po/Eff</f>
        <v>45</v>
      </c>
      <c r="D20" s="186" t="s">
        <v>28</v>
      </c>
      <c r="L20" s="175" t="s">
        <v>386</v>
      </c>
      <c r="N20" s="185"/>
    </row>
    <row r="21" ht="13.5">
      <c r="N21" s="185"/>
    </row>
    <row r="22" spans="1:14" ht="13.5">
      <c r="A22" s="179" t="s">
        <v>36</v>
      </c>
      <c r="B22" s="179"/>
      <c r="C22" s="179"/>
      <c r="D22" s="179"/>
      <c r="E22" s="179"/>
      <c r="F22" s="179"/>
      <c r="G22" s="179"/>
      <c r="H22" s="179"/>
      <c r="I22" s="179"/>
      <c r="N22" s="185"/>
    </row>
    <row r="23" spans="2:14" ht="14.25">
      <c r="B23" s="181" t="s">
        <v>17</v>
      </c>
      <c r="C23" s="1">
        <v>100</v>
      </c>
      <c r="D23" s="182" t="s">
        <v>13</v>
      </c>
      <c r="L23" s="251" t="s">
        <v>387</v>
      </c>
      <c r="N23" s="185"/>
    </row>
    <row r="24" spans="2:14" ht="13.5">
      <c r="B24" s="186" t="s">
        <v>7</v>
      </c>
      <c r="C24" s="174">
        <f>Pin*0.8/(SQRT(2)*V_line_min*2*fL*Cdc)</f>
        <v>28.2842712474619</v>
      </c>
      <c r="D24" s="186" t="s">
        <v>3</v>
      </c>
      <c r="L24" s="175" t="s">
        <v>388</v>
      </c>
      <c r="N24" s="185"/>
    </row>
    <row r="25" spans="2:14" ht="13.5">
      <c r="B25" s="186" t="s">
        <v>8</v>
      </c>
      <c r="C25" s="174">
        <f>SQRT(2)*V_line_min-C24</f>
        <v>98.99494936611666</v>
      </c>
      <c r="D25" s="186" t="s">
        <v>3</v>
      </c>
      <c r="L25" s="175" t="s">
        <v>389</v>
      </c>
      <c r="N25" s="185"/>
    </row>
    <row r="26" spans="2:14" ht="13.5">
      <c r="B26" s="186" t="s">
        <v>186</v>
      </c>
      <c r="C26" s="174">
        <f>SQRT(2)*V_line_max</f>
        <v>374.7665940288702</v>
      </c>
      <c r="D26" s="186" t="s">
        <v>3</v>
      </c>
      <c r="L26" s="175" t="s">
        <v>390</v>
      </c>
      <c r="N26" s="185"/>
    </row>
    <row r="27" ht="13.5">
      <c r="N27" s="185"/>
    </row>
    <row r="28" spans="1:14" ht="13.5">
      <c r="A28" s="179" t="s">
        <v>37</v>
      </c>
      <c r="B28" s="179"/>
      <c r="C28" s="179"/>
      <c r="D28" s="179"/>
      <c r="E28" s="179"/>
      <c r="F28" s="179"/>
      <c r="G28" s="179"/>
      <c r="H28" s="179"/>
      <c r="I28" s="179"/>
      <c r="N28" s="185"/>
    </row>
    <row r="29" spans="2:14" ht="15">
      <c r="B29" s="181" t="s">
        <v>14</v>
      </c>
      <c r="C29" s="253">
        <v>0.45</v>
      </c>
      <c r="D29" s="182"/>
      <c r="F29" s="187"/>
      <c r="L29" s="175" t="s">
        <v>391</v>
      </c>
      <c r="N29" s="185"/>
    </row>
    <row r="30" spans="2:14" ht="15">
      <c r="B30" s="186" t="s">
        <v>181</v>
      </c>
      <c r="C30" s="174">
        <f>SQRT(2)*V_line_max+VRO</f>
        <v>455.76246169205655</v>
      </c>
      <c r="D30" s="186" t="s">
        <v>10</v>
      </c>
      <c r="L30" s="252" t="s">
        <v>392</v>
      </c>
      <c r="N30" s="185"/>
    </row>
    <row r="31" spans="2:14" ht="13.5">
      <c r="B31" s="186" t="s">
        <v>16</v>
      </c>
      <c r="C31" s="174">
        <f>Dmax/(1-Dmax)*Vdc_min</f>
        <v>80.99586766318635</v>
      </c>
      <c r="D31" s="186" t="s">
        <v>10</v>
      </c>
      <c r="L31" s="175" t="s">
        <v>393</v>
      </c>
      <c r="N31" s="185"/>
    </row>
    <row r="32" ht="13.5">
      <c r="N32" s="185"/>
    </row>
    <row r="33" spans="1:14" ht="13.5">
      <c r="A33" s="179" t="s">
        <v>149</v>
      </c>
      <c r="B33" s="179"/>
      <c r="C33" s="179"/>
      <c r="D33" s="179"/>
      <c r="E33" s="179"/>
      <c r="F33" s="179"/>
      <c r="G33" s="179"/>
      <c r="H33" s="179"/>
      <c r="I33" s="179"/>
      <c r="N33" s="185"/>
    </row>
    <row r="34" spans="2:14" ht="13.5">
      <c r="B34" s="181" t="s">
        <v>38</v>
      </c>
      <c r="C34" s="1">
        <v>65</v>
      </c>
      <c r="D34" s="182" t="s">
        <v>39</v>
      </c>
      <c r="E34" s="182"/>
      <c r="F34" s="182"/>
      <c r="G34" s="182"/>
      <c r="L34" s="175" t="s">
        <v>374</v>
      </c>
      <c r="N34" s="185"/>
    </row>
    <row r="35" spans="2:14" ht="13.5">
      <c r="B35" s="181" t="s">
        <v>40</v>
      </c>
      <c r="C35" s="1">
        <v>0.4</v>
      </c>
      <c r="D35" s="182"/>
      <c r="L35" s="175" t="s">
        <v>394</v>
      </c>
      <c r="N35" s="185"/>
    </row>
    <row r="36" spans="2:14" ht="13.5">
      <c r="B36" s="186" t="s">
        <v>129</v>
      </c>
      <c r="C36" s="174">
        <f>(Vdc_min*Dmax)^2/(2*Pin*fs*KRF)*1000000</f>
        <v>848.0769230769233</v>
      </c>
      <c r="D36" s="186" t="s">
        <v>11</v>
      </c>
      <c r="L36" s="175" t="s">
        <v>395</v>
      </c>
      <c r="N36" s="185"/>
    </row>
    <row r="37" spans="2:14" ht="13.5">
      <c r="B37" s="186" t="s">
        <v>15</v>
      </c>
      <c r="C37" s="238">
        <f>Pin/(Vdc_min*Dmax)+Vdc_min*Dmax/(2*Lm*fs)</f>
        <v>1.414213562373095</v>
      </c>
      <c r="D37" s="186" t="s">
        <v>26</v>
      </c>
      <c r="L37" s="175" t="s">
        <v>396</v>
      </c>
      <c r="N37" s="185"/>
    </row>
    <row r="38" spans="2:14" ht="13.5">
      <c r="B38" s="186" t="s">
        <v>66</v>
      </c>
      <c r="C38" s="238">
        <f>SQRT((3*(Pin/Vdc_min/Dmax)^2+(Vdc_min*Dmax/Lm/fs/2)^2)*Dmax/3)</f>
        <v>0.6954663682650334</v>
      </c>
      <c r="D38" s="186" t="s">
        <v>26</v>
      </c>
      <c r="E38" s="188"/>
      <c r="F38" s="175">
        <f>SQRT(Pin/VRO^2*Lm*fs)*VRO/(1-SQRT(Pin/VRO^2*Lm*fs))</f>
        <v>129.33858992208133</v>
      </c>
      <c r="N38" s="185"/>
    </row>
    <row r="39" spans="2:14" ht="13.5">
      <c r="B39" s="186" t="s">
        <v>151</v>
      </c>
      <c r="C39" s="174">
        <f>IF(F38&lt;0,1.4*V_line_max,F38)</f>
        <v>129.33858992208133</v>
      </c>
      <c r="D39" s="186" t="s">
        <v>3</v>
      </c>
      <c r="N39" s="185"/>
    </row>
    <row r="40" ht="13.5">
      <c r="N40" s="185"/>
    </row>
    <row r="41" spans="1:14" ht="13.5">
      <c r="A41" s="179" t="s">
        <v>43</v>
      </c>
      <c r="B41" s="179"/>
      <c r="C41" s="179"/>
      <c r="D41" s="179"/>
      <c r="E41" s="179"/>
      <c r="F41" s="179"/>
      <c r="G41" s="179"/>
      <c r="H41" s="179"/>
      <c r="I41" s="179"/>
      <c r="N41" s="185"/>
    </row>
    <row r="42" spans="2:14" ht="13.5">
      <c r="B42" s="181" t="s">
        <v>44</v>
      </c>
      <c r="C42" s="7">
        <v>2</v>
      </c>
      <c r="D42" s="182" t="s">
        <v>26</v>
      </c>
      <c r="E42" s="188"/>
      <c r="N42" s="185"/>
    </row>
    <row r="43" spans="2:14" ht="13.5">
      <c r="B43" s="181" t="s">
        <v>175</v>
      </c>
      <c r="C43" s="7">
        <v>0.3</v>
      </c>
      <c r="D43" s="182" t="s">
        <v>45</v>
      </c>
      <c r="E43" s="188"/>
      <c r="N43" s="185"/>
    </row>
    <row r="44" spans="2:14" ht="13.5">
      <c r="B44" s="181" t="s">
        <v>176</v>
      </c>
      <c r="C44" s="7">
        <v>0.25</v>
      </c>
      <c r="D44" s="182" t="s">
        <v>45</v>
      </c>
      <c r="N44" s="185"/>
    </row>
    <row r="45" spans="2:14" ht="15.75">
      <c r="B45" s="189" t="s">
        <v>18</v>
      </c>
      <c r="C45" s="174">
        <f>(Lm*Ipk*Irms*10000/450/0.2/Bmax)^1.143*10000</f>
        <v>2611.637921883444</v>
      </c>
      <c r="D45" s="186" t="s">
        <v>19</v>
      </c>
      <c r="E45" s="188"/>
      <c r="F45" s="190"/>
      <c r="G45" s="190"/>
      <c r="H45" s="190"/>
      <c r="I45" s="190"/>
      <c r="N45" s="185"/>
    </row>
    <row r="46" spans="2:14" ht="15.75">
      <c r="B46" s="181" t="s">
        <v>130</v>
      </c>
      <c r="C46" s="1">
        <v>82</v>
      </c>
      <c r="D46" s="182" t="s">
        <v>41</v>
      </c>
      <c r="E46" s="188"/>
      <c r="F46" s="190"/>
      <c r="G46" s="190"/>
      <c r="H46" s="190"/>
      <c r="I46" s="190"/>
      <c r="K46" s="182"/>
      <c r="N46" s="185"/>
    </row>
    <row r="47" spans="2:14" ht="13.5">
      <c r="B47" s="189" t="s">
        <v>42</v>
      </c>
      <c r="C47" s="237">
        <f>Lm*Ilim/Bsat/Ae*1000000</f>
        <v>82.73921200750472</v>
      </c>
      <c r="D47" s="186" t="s">
        <v>45</v>
      </c>
      <c r="E47" s="188"/>
      <c r="N47" s="185"/>
    </row>
    <row r="48" ht="13.5">
      <c r="N48" s="185"/>
    </row>
    <row r="49" spans="1:14" ht="13.5">
      <c r="A49" s="179" t="s">
        <v>47</v>
      </c>
      <c r="B49" s="179"/>
      <c r="C49" s="179"/>
      <c r="D49" s="179"/>
      <c r="E49" s="179"/>
      <c r="F49" s="179"/>
      <c r="G49" s="179"/>
      <c r="H49" s="179"/>
      <c r="I49" s="179"/>
      <c r="N49" s="185"/>
    </row>
    <row r="50" ht="13.5">
      <c r="N50" s="185"/>
    </row>
    <row r="51" spans="2:14" ht="13.5">
      <c r="B51" s="183"/>
      <c r="C51" s="184" t="s">
        <v>48</v>
      </c>
      <c r="D51" s="183"/>
      <c r="E51" s="184" t="s">
        <v>49</v>
      </c>
      <c r="F51" s="183"/>
      <c r="G51" s="183"/>
      <c r="H51" s="184" t="s">
        <v>52</v>
      </c>
      <c r="I51" s="184"/>
      <c r="J51" s="184"/>
      <c r="N51" s="185"/>
    </row>
    <row r="52" spans="2:14" ht="13.5">
      <c r="B52" s="189" t="s">
        <v>106</v>
      </c>
      <c r="C52" s="1">
        <v>15</v>
      </c>
      <c r="D52" s="182" t="s">
        <v>46</v>
      </c>
      <c r="E52" s="1">
        <v>1</v>
      </c>
      <c r="F52" s="182" t="s">
        <v>46</v>
      </c>
      <c r="G52" s="191">
        <f>Ns1*(Vcc+VFC)/(Vo1+VF1)</f>
        <v>3.4594594594594597</v>
      </c>
      <c r="H52" s="3" t="s">
        <v>50</v>
      </c>
      <c r="I52" s="241">
        <f>ROUND(G52,0)</f>
        <v>3</v>
      </c>
      <c r="J52" s="186" t="s">
        <v>51</v>
      </c>
      <c r="N52" s="185"/>
    </row>
    <row r="53" spans="2:14" ht="13.5">
      <c r="B53" s="189" t="s">
        <v>107</v>
      </c>
      <c r="C53" s="239">
        <f>Vo1</f>
        <v>18</v>
      </c>
      <c r="D53" s="182" t="s">
        <v>46</v>
      </c>
      <c r="E53" s="1">
        <v>0.5</v>
      </c>
      <c r="F53" s="182" t="s">
        <v>46</v>
      </c>
      <c r="G53" s="2">
        <v>4</v>
      </c>
      <c r="H53" s="3" t="s">
        <v>50</v>
      </c>
      <c r="I53" s="241">
        <f aca="true" t="shared" si="2" ref="I53:I58">ROUND(G53,0)</f>
        <v>4</v>
      </c>
      <c r="J53" s="186" t="s">
        <v>51</v>
      </c>
      <c r="N53" s="185"/>
    </row>
    <row r="54" spans="2:14" ht="13.5">
      <c r="B54" s="189" t="s">
        <v>108</v>
      </c>
      <c r="C54" s="239">
        <f>Vo2</f>
        <v>0</v>
      </c>
      <c r="D54" s="182" t="s">
        <v>46</v>
      </c>
      <c r="E54" s="1">
        <v>1.2</v>
      </c>
      <c r="F54" s="182" t="s">
        <v>46</v>
      </c>
      <c r="G54" s="191">
        <f>Ns1*(Vo2+VF2)/(Vo1+VF1)</f>
        <v>0.2594594594594595</v>
      </c>
      <c r="H54" s="3" t="s">
        <v>50</v>
      </c>
      <c r="I54" s="241">
        <f t="shared" si="2"/>
        <v>0</v>
      </c>
      <c r="J54" s="186" t="s">
        <v>51</v>
      </c>
      <c r="N54" s="185"/>
    </row>
    <row r="55" spans="2:14" ht="13.5">
      <c r="B55" s="189" t="s">
        <v>109</v>
      </c>
      <c r="C55" s="239">
        <f>Vo3</f>
        <v>0</v>
      </c>
      <c r="D55" s="182" t="s">
        <v>46</v>
      </c>
      <c r="E55" s="1">
        <v>0</v>
      </c>
      <c r="F55" s="182" t="s">
        <v>46</v>
      </c>
      <c r="G55" s="191">
        <f>Ns1*(Vo3+VF3)/(Vo1+VF1)</f>
        <v>0</v>
      </c>
      <c r="H55" s="3" t="s">
        <v>50</v>
      </c>
      <c r="I55" s="241">
        <f t="shared" si="2"/>
        <v>0</v>
      </c>
      <c r="J55" s="186" t="s">
        <v>51</v>
      </c>
      <c r="N55" s="185"/>
    </row>
    <row r="56" spans="2:14" ht="13.5">
      <c r="B56" s="189" t="s">
        <v>22</v>
      </c>
      <c r="C56" s="239">
        <f>Vo4</f>
        <v>0</v>
      </c>
      <c r="D56" s="182" t="s">
        <v>46</v>
      </c>
      <c r="E56" s="1">
        <v>0</v>
      </c>
      <c r="F56" s="182" t="s">
        <v>46</v>
      </c>
      <c r="G56" s="191">
        <f>Ns1*(Vo4+VF4)/(Vo1+VF1)</f>
        <v>0</v>
      </c>
      <c r="H56" s="3" t="s">
        <v>50</v>
      </c>
      <c r="I56" s="241">
        <f t="shared" si="2"/>
        <v>0</v>
      </c>
      <c r="J56" s="186" t="s">
        <v>51</v>
      </c>
      <c r="N56" s="185"/>
    </row>
    <row r="57" spans="2:14" ht="13.5">
      <c r="B57" s="189" t="s">
        <v>23</v>
      </c>
      <c r="C57" s="239">
        <f>Vo5</f>
        <v>0</v>
      </c>
      <c r="D57" s="182" t="s">
        <v>46</v>
      </c>
      <c r="E57" s="1">
        <v>0</v>
      </c>
      <c r="F57" s="182" t="s">
        <v>46</v>
      </c>
      <c r="G57" s="191">
        <f>Ns1*(Vo5+VF5)/(Vo1+VF1)</f>
        <v>0</v>
      </c>
      <c r="H57" s="3" t="s">
        <v>50</v>
      </c>
      <c r="I57" s="241">
        <f t="shared" si="2"/>
        <v>0</v>
      </c>
      <c r="J57" s="186" t="s">
        <v>51</v>
      </c>
      <c r="N57" s="185"/>
    </row>
    <row r="58" spans="2:14" ht="13.5">
      <c r="B58" s="189" t="s">
        <v>24</v>
      </c>
      <c r="C58" s="240">
        <f>Vo6</f>
        <v>0</v>
      </c>
      <c r="D58" s="182" t="s">
        <v>46</v>
      </c>
      <c r="E58" s="1">
        <v>0</v>
      </c>
      <c r="F58" s="182" t="s">
        <v>46</v>
      </c>
      <c r="G58" s="191">
        <f>Ns1*(Vo6+VF6)/(Vo1+VF1)</f>
        <v>0</v>
      </c>
      <c r="H58" s="3" t="s">
        <v>50</v>
      </c>
      <c r="I58" s="241">
        <f t="shared" si="2"/>
        <v>0</v>
      </c>
      <c r="J58" s="186" t="s">
        <v>51</v>
      </c>
      <c r="K58" s="192"/>
      <c r="N58" s="185"/>
    </row>
    <row r="59" spans="2:14" ht="13.5">
      <c r="B59" s="193" t="s">
        <v>397</v>
      </c>
      <c r="E59" s="194" t="s">
        <v>53</v>
      </c>
      <c r="F59" s="194"/>
      <c r="G59" s="194"/>
      <c r="H59" s="194"/>
      <c r="I59" s="174">
        <f>VRO/(C53+E53)*Ns1</f>
        <v>17.512620035283533</v>
      </c>
      <c r="J59" s="186" t="s">
        <v>51</v>
      </c>
      <c r="N59" s="185"/>
    </row>
    <row r="60" spans="4:14" ht="13.5">
      <c r="D60" s="189"/>
      <c r="E60" s="195" t="str">
        <f>IF(I59&lt;C47,"-&gt;More turns required !!!","-&gt;enough turns")</f>
        <v>-&gt;More turns required !!!</v>
      </c>
      <c r="F60" s="195"/>
      <c r="G60" s="195"/>
      <c r="H60" s="195"/>
      <c r="I60" s="195"/>
      <c r="N60" s="185"/>
    </row>
    <row r="61" spans="2:14" ht="15.75">
      <c r="B61" s="181" t="s">
        <v>139</v>
      </c>
      <c r="C61" s="1">
        <v>2800</v>
      </c>
      <c r="D61" s="175" t="s">
        <v>104</v>
      </c>
      <c r="J61" s="195"/>
      <c r="N61" s="185"/>
    </row>
    <row r="62" spans="2:14" ht="13.5">
      <c r="B62" s="189" t="s">
        <v>138</v>
      </c>
      <c r="C62" s="242">
        <f>0.4*3.14*Ae*(Np^2/10^9/Lm-1/AL)</f>
        <v>0.00046235875340541386</v>
      </c>
      <c r="D62" s="186" t="s">
        <v>55</v>
      </c>
      <c r="N62" s="185"/>
    </row>
    <row r="63" ht="13.5">
      <c r="N63" s="185"/>
    </row>
    <row r="64" spans="1:9" ht="13.5">
      <c r="A64" s="179" t="s">
        <v>54</v>
      </c>
      <c r="B64" s="179"/>
      <c r="C64" s="179"/>
      <c r="D64" s="179"/>
      <c r="E64" s="179"/>
      <c r="F64" s="179"/>
      <c r="G64" s="179"/>
      <c r="H64" s="179"/>
      <c r="I64" s="179"/>
    </row>
    <row r="65" spans="2:5" ht="13.5">
      <c r="B65" s="181"/>
      <c r="C65" s="6"/>
      <c r="D65" s="196"/>
      <c r="E65" s="196"/>
    </row>
    <row r="66" spans="2:10" ht="15.75">
      <c r="B66" s="183"/>
      <c r="C66" s="289" t="s">
        <v>56</v>
      </c>
      <c r="D66" s="289"/>
      <c r="E66" s="197" t="s">
        <v>60</v>
      </c>
      <c r="F66" s="197"/>
      <c r="G66" s="184" t="s">
        <v>75</v>
      </c>
      <c r="H66" s="184"/>
      <c r="I66" s="198" t="s">
        <v>61</v>
      </c>
      <c r="J66" s="199"/>
    </row>
    <row r="67" spans="2:10" ht="13.5">
      <c r="B67" s="189" t="s">
        <v>105</v>
      </c>
      <c r="C67" s="4">
        <v>0.5</v>
      </c>
      <c r="D67" s="182" t="s">
        <v>58</v>
      </c>
      <c r="E67" s="4">
        <v>1</v>
      </c>
      <c r="F67" s="175" t="s">
        <v>45</v>
      </c>
      <c r="G67" s="243">
        <f>Irms</f>
        <v>0.6954663682650334</v>
      </c>
      <c r="H67" s="236" t="s">
        <v>26</v>
      </c>
      <c r="I67" s="286">
        <f>G67/E67/(3.14/4*C67^2)</f>
        <v>3.543777672688068</v>
      </c>
      <c r="J67" s="286"/>
    </row>
    <row r="68" spans="2:10" ht="13.5">
      <c r="B68" s="189" t="s">
        <v>110</v>
      </c>
      <c r="C68" s="4">
        <v>0.3</v>
      </c>
      <c r="D68" s="182" t="s">
        <v>58</v>
      </c>
      <c r="E68" s="4">
        <v>1</v>
      </c>
      <c r="F68" s="175" t="s">
        <v>57</v>
      </c>
      <c r="G68" s="243">
        <v>0.1</v>
      </c>
      <c r="H68" s="236" t="s">
        <v>26</v>
      </c>
      <c r="I68" s="286">
        <f aca="true" t="shared" si="3" ref="I68:I73">G68/E68/(3.14/4*C68^2)</f>
        <v>1.4154281670205238</v>
      </c>
      <c r="J68" s="286"/>
    </row>
    <row r="69" spans="2:10" ht="13.5">
      <c r="B69" s="189" t="s">
        <v>111</v>
      </c>
      <c r="C69" s="4">
        <v>0.4</v>
      </c>
      <c r="D69" s="182" t="s">
        <v>58</v>
      </c>
      <c r="E69" s="4">
        <v>4</v>
      </c>
      <c r="F69" s="175" t="s">
        <v>57</v>
      </c>
      <c r="G69" s="243">
        <f>Irms*SQRT((1-Dmax)/Dmax)*VRO*KL1/(Vo1+VF1)</f>
        <v>3.366218904023933</v>
      </c>
      <c r="H69" s="236" t="s">
        <v>26</v>
      </c>
      <c r="I69" s="286">
        <f t="shared" si="3"/>
        <v>6.7002764809393565</v>
      </c>
      <c r="J69" s="286"/>
    </row>
    <row r="70" spans="2:10" ht="13.5">
      <c r="B70" s="189" t="s">
        <v>112</v>
      </c>
      <c r="C70" s="4">
        <v>0.4</v>
      </c>
      <c r="D70" s="182" t="s">
        <v>58</v>
      </c>
      <c r="E70" s="4">
        <v>4</v>
      </c>
      <c r="F70" s="175" t="s">
        <v>57</v>
      </c>
      <c r="G70" s="243">
        <f>Irms*SQRT((1-Dmax)/Dmax)*VRO*KL2/(Vo2+VF2)</f>
        <v>0</v>
      </c>
      <c r="H70" s="236" t="s">
        <v>26</v>
      </c>
      <c r="I70" s="286">
        <f t="shared" si="3"/>
        <v>0</v>
      </c>
      <c r="J70" s="286"/>
    </row>
    <row r="71" spans="2:10" ht="13.5">
      <c r="B71" s="189" t="s">
        <v>113</v>
      </c>
      <c r="C71" s="4"/>
      <c r="D71" s="182" t="s">
        <v>58</v>
      </c>
      <c r="E71" s="4"/>
      <c r="F71" s="175" t="s">
        <v>57</v>
      </c>
      <c r="G71" s="243" t="e">
        <f>Irms*SQRT((1-Dmax)/Dmax)*VRO*KL3/(Vo3+VF3)</f>
        <v>#DIV/0!</v>
      </c>
      <c r="H71" s="236" t="s">
        <v>26</v>
      </c>
      <c r="I71" s="286" t="e">
        <f t="shared" si="3"/>
        <v>#DIV/0!</v>
      </c>
      <c r="J71" s="286"/>
    </row>
    <row r="72" spans="2:10" ht="13.5">
      <c r="B72" s="189" t="s">
        <v>114</v>
      </c>
      <c r="C72" s="4"/>
      <c r="D72" s="182" t="s">
        <v>58</v>
      </c>
      <c r="E72" s="4"/>
      <c r="F72" s="175" t="s">
        <v>59</v>
      </c>
      <c r="G72" s="243" t="e">
        <f>Irms*SQRT((1-Dmax)/Dmax)*VRO*KL4/(Vo4+VF4)</f>
        <v>#DIV/0!</v>
      </c>
      <c r="H72" s="236" t="s">
        <v>26</v>
      </c>
      <c r="I72" s="286" t="e">
        <f t="shared" si="3"/>
        <v>#DIV/0!</v>
      </c>
      <c r="J72" s="286"/>
    </row>
    <row r="73" spans="2:13" ht="13.5">
      <c r="B73" s="189" t="s">
        <v>115</v>
      </c>
      <c r="C73" s="4"/>
      <c r="D73" s="182" t="s">
        <v>58</v>
      </c>
      <c r="E73" s="4"/>
      <c r="F73" s="175" t="s">
        <v>57</v>
      </c>
      <c r="G73" s="243" t="e">
        <f>Irms*SQRT((1-Dmax)/Dmax)*VRO*KL5/(Vo5+VF5)</f>
        <v>#DIV/0!</v>
      </c>
      <c r="H73" s="236" t="s">
        <v>26</v>
      </c>
      <c r="I73" s="286" t="e">
        <f t="shared" si="3"/>
        <v>#DIV/0!</v>
      </c>
      <c r="J73" s="286"/>
      <c r="M73" s="185"/>
    </row>
    <row r="74" spans="2:13" ht="13.5">
      <c r="B74" s="189" t="s">
        <v>116</v>
      </c>
      <c r="C74" s="4"/>
      <c r="D74" s="182" t="s">
        <v>58</v>
      </c>
      <c r="E74" s="4"/>
      <c r="F74" s="175" t="s">
        <v>57</v>
      </c>
      <c r="G74" s="243" t="e">
        <f>Irms*SQRT((1-Dmax)/Dmax)*VRO*KL6/(Vo6+VF6)</f>
        <v>#DIV/0!</v>
      </c>
      <c r="H74" s="236" t="s">
        <v>26</v>
      </c>
      <c r="I74" s="286" t="e">
        <f>G74/E74/(3.14/4*C74^2)</f>
        <v>#DIV/0!</v>
      </c>
      <c r="J74" s="286"/>
      <c r="M74" s="185"/>
    </row>
    <row r="75" spans="1:13" ht="15.75">
      <c r="A75" s="200"/>
      <c r="B75" s="201" t="s">
        <v>62</v>
      </c>
      <c r="C75" s="242">
        <f>C67^2/4*3.14*E67*Np+C68^2/4*3.14*E68*Nc+C69^2/4*3.14*E69*Ns1+C70^2/4*3.14*E70*Ns2+C71^2/4*3.14*E71*Ns3+C72^2/4*3.14*E72*Ns4+C73^2/4*3.14*E73*Ns5+C74^2/4*3.14*E74*Ns6</f>
        <v>5.658401681924394</v>
      </c>
      <c r="D75" s="186" t="s">
        <v>63</v>
      </c>
      <c r="E75" s="5"/>
      <c r="F75" s="200"/>
      <c r="G75" s="202"/>
      <c r="H75" s="203"/>
      <c r="I75" s="200"/>
      <c r="J75" s="203"/>
      <c r="M75" s="185"/>
    </row>
    <row r="76" spans="1:13" ht="13.5">
      <c r="A76" s="200"/>
      <c r="B76" s="181" t="s">
        <v>64</v>
      </c>
      <c r="C76" s="1">
        <v>0.2</v>
      </c>
      <c r="D76" s="182"/>
      <c r="E76" s="204"/>
      <c r="F76" s="205"/>
      <c r="G76" s="205"/>
      <c r="H76" s="205"/>
      <c r="I76" s="205"/>
      <c r="J76" s="200"/>
      <c r="M76" s="185"/>
    </row>
    <row r="77" spans="1:13" ht="15.75">
      <c r="A77" s="206"/>
      <c r="B77" s="201" t="s">
        <v>65</v>
      </c>
      <c r="C77" s="242">
        <f>C75/C76</f>
        <v>28.292008409621968</v>
      </c>
      <c r="D77" s="186" t="s">
        <v>63</v>
      </c>
      <c r="E77" s="206"/>
      <c r="F77" s="206"/>
      <c r="G77" s="206"/>
      <c r="H77" s="206"/>
      <c r="I77" s="206"/>
      <c r="J77" s="200"/>
      <c r="M77" s="185"/>
    </row>
    <row r="78" ht="13.5">
      <c r="M78" s="185"/>
    </row>
    <row r="79" spans="1:9" ht="13.5">
      <c r="A79" s="179" t="s">
        <v>150</v>
      </c>
      <c r="B79" s="179"/>
      <c r="C79" s="179"/>
      <c r="D79" s="179"/>
      <c r="E79" s="179"/>
      <c r="F79" s="179"/>
      <c r="G79" s="179"/>
      <c r="H79" s="179"/>
      <c r="I79" s="179"/>
    </row>
    <row r="80" spans="2:5" ht="13.5">
      <c r="B80" s="181"/>
      <c r="C80" s="6"/>
      <c r="D80" s="196"/>
      <c r="E80" s="196"/>
    </row>
    <row r="81" spans="2:12" ht="13.5">
      <c r="B81" s="183"/>
      <c r="C81" s="184" t="s">
        <v>74</v>
      </c>
      <c r="D81" s="184"/>
      <c r="E81" s="184"/>
      <c r="F81" s="207"/>
      <c r="G81" s="208" t="s">
        <v>180</v>
      </c>
      <c r="H81" s="209"/>
      <c r="I81" s="209"/>
      <c r="L81" s="190"/>
    </row>
    <row r="82" spans="2:13" ht="13.5">
      <c r="B82" s="189" t="s">
        <v>67</v>
      </c>
      <c r="C82" s="244">
        <f>Vcc+SQRT(2)*V_line_max*(Vcc+VFC)/VRO</f>
        <v>89.03174603174604</v>
      </c>
      <c r="D82" s="244"/>
      <c r="E82" s="236" t="s">
        <v>3</v>
      </c>
      <c r="F82" s="245"/>
      <c r="G82" s="246">
        <v>0.1</v>
      </c>
      <c r="H82" s="186" t="s">
        <v>26</v>
      </c>
      <c r="I82" s="210"/>
      <c r="J82" s="190"/>
      <c r="K82" s="190"/>
      <c r="L82" s="190"/>
      <c r="M82" s="185"/>
    </row>
    <row r="83" spans="2:12" ht="13.5">
      <c r="B83" s="189" t="s">
        <v>68</v>
      </c>
      <c r="C83" s="244">
        <f>Vo1+SQRT(2)*V_line_max*(Vo1+VF1)/VRO</f>
        <v>103.59920634920636</v>
      </c>
      <c r="D83" s="244"/>
      <c r="E83" s="236" t="s">
        <v>3</v>
      </c>
      <c r="F83" s="245"/>
      <c r="G83" s="246">
        <f>Io1rms</f>
        <v>3.366218904023933</v>
      </c>
      <c r="H83" s="186" t="s">
        <v>26</v>
      </c>
      <c r="I83" s="210"/>
      <c r="J83" s="190"/>
      <c r="K83" s="190"/>
      <c r="L83" s="190"/>
    </row>
    <row r="84" spans="2:11" ht="13.5">
      <c r="B84" s="189" t="s">
        <v>69</v>
      </c>
      <c r="C84" s="244">
        <f>Vo2+SQRT(2)*V_line_max*(Vo2+VF2)/VRO</f>
        <v>5.552380952380953</v>
      </c>
      <c r="D84" s="244"/>
      <c r="E84" s="236" t="s">
        <v>3</v>
      </c>
      <c r="F84" s="245"/>
      <c r="G84" s="246">
        <f>Io2rms</f>
        <v>0</v>
      </c>
      <c r="H84" s="186" t="s">
        <v>26</v>
      </c>
      <c r="I84" s="210"/>
      <c r="J84" s="190"/>
      <c r="K84" s="190"/>
    </row>
    <row r="85" spans="2:8" ht="13.5">
      <c r="B85" s="189" t="s">
        <v>70</v>
      </c>
      <c r="C85" s="244">
        <f>Vo3+SQRT(2)*V_line_max*(Vo3+VF3)/VRO</f>
        <v>0</v>
      </c>
      <c r="D85" s="244"/>
      <c r="E85" s="236" t="s">
        <v>3</v>
      </c>
      <c r="F85" s="245"/>
      <c r="G85" s="246" t="e">
        <f>Io3rms</f>
        <v>#DIV/0!</v>
      </c>
      <c r="H85" s="186" t="s">
        <v>26</v>
      </c>
    </row>
    <row r="86" spans="2:8" ht="13.5">
      <c r="B86" s="189" t="s">
        <v>71</v>
      </c>
      <c r="C86" s="244">
        <f>Vo4+SQRT(2)*V_line_max*(Vo4+VF4)/VRO</f>
        <v>0</v>
      </c>
      <c r="D86" s="244"/>
      <c r="E86" s="236" t="s">
        <v>3</v>
      </c>
      <c r="F86" s="245"/>
      <c r="G86" s="246" t="e">
        <f>Io4rms</f>
        <v>#DIV/0!</v>
      </c>
      <c r="H86" s="186" t="s">
        <v>26</v>
      </c>
    </row>
    <row r="87" spans="2:8" ht="13.5">
      <c r="B87" s="189" t="s">
        <v>72</v>
      </c>
      <c r="C87" s="244">
        <f>Vo5+SQRT(2)*V_line_max*(Vo5+VF5)/VRO</f>
        <v>0</v>
      </c>
      <c r="D87" s="244"/>
      <c r="E87" s="236" t="s">
        <v>3</v>
      </c>
      <c r="F87" s="245"/>
      <c r="G87" s="246" t="e">
        <f>Io5rms</f>
        <v>#DIV/0!</v>
      </c>
      <c r="H87" s="186" t="s">
        <v>26</v>
      </c>
    </row>
    <row r="88" spans="2:8" ht="13.5">
      <c r="B88" s="189" t="s">
        <v>73</v>
      </c>
      <c r="C88" s="244">
        <f>Vo6+SQRT(2)*V_line_max*(Vo6+VF6)/VRO</f>
        <v>0</v>
      </c>
      <c r="D88" s="244"/>
      <c r="E88" s="236" t="s">
        <v>3</v>
      </c>
      <c r="F88" s="245"/>
      <c r="G88" s="246" t="e">
        <f>Io6rms</f>
        <v>#DIV/0!</v>
      </c>
      <c r="H88" s="186" t="s">
        <v>26</v>
      </c>
    </row>
    <row r="90" spans="1:9" ht="13.5">
      <c r="A90" s="179" t="s">
        <v>76</v>
      </c>
      <c r="B90" s="179"/>
      <c r="C90" s="179"/>
      <c r="D90" s="179"/>
      <c r="E90" s="179"/>
      <c r="F90" s="179"/>
      <c r="G90" s="179"/>
      <c r="H90" s="179"/>
      <c r="I90" s="179"/>
    </row>
    <row r="91" spans="2:13" ht="13.5">
      <c r="B91" s="181"/>
      <c r="C91" s="6"/>
      <c r="D91" s="196"/>
      <c r="E91" s="196"/>
      <c r="M91" s="185"/>
    </row>
    <row r="92" spans="2:13" ht="13.5">
      <c r="B92" s="183"/>
      <c r="C92" s="285" t="s">
        <v>177</v>
      </c>
      <c r="D92" s="285"/>
      <c r="E92" s="211" t="s">
        <v>84</v>
      </c>
      <c r="F92" s="211"/>
      <c r="G92" s="212" t="s">
        <v>87</v>
      </c>
      <c r="H92" s="212"/>
      <c r="I92" s="208" t="s">
        <v>89</v>
      </c>
      <c r="J92" s="208"/>
      <c r="M92" s="185"/>
    </row>
    <row r="93" spans="2:13" ht="13.5">
      <c r="B93" s="183"/>
      <c r="C93" s="285"/>
      <c r="D93" s="285"/>
      <c r="E93" s="211"/>
      <c r="F93" s="211"/>
      <c r="G93" s="212" t="s">
        <v>86</v>
      </c>
      <c r="H93" s="212"/>
      <c r="I93" s="199" t="s">
        <v>88</v>
      </c>
      <c r="J93" s="199"/>
      <c r="M93" s="185"/>
    </row>
    <row r="94" spans="2:13" ht="13.5">
      <c r="B94" s="189" t="s">
        <v>78</v>
      </c>
      <c r="C94" s="4">
        <v>1000</v>
      </c>
      <c r="D94" s="182" t="s">
        <v>77</v>
      </c>
      <c r="E94" s="4">
        <v>50</v>
      </c>
      <c r="F94" s="196" t="s">
        <v>85</v>
      </c>
      <c r="G94" s="243">
        <f>SQRT(Io1rms^2-Io_1^2)</f>
        <v>2.707661298945658</v>
      </c>
      <c r="H94" s="247" t="s">
        <v>3</v>
      </c>
      <c r="I94" s="243">
        <f>1000000*Io_1*Dmax/Co_1/fs+Ipk*VRO*Rc_1/1000/(Vo1+VF1)*KL1</f>
        <v>0.3234284634284633</v>
      </c>
      <c r="J94" s="213" t="s">
        <v>3</v>
      </c>
      <c r="M94" s="185"/>
    </row>
    <row r="95" spans="2:13" ht="13.5">
      <c r="B95" s="189" t="s">
        <v>79</v>
      </c>
      <c r="C95" s="4">
        <v>1000</v>
      </c>
      <c r="D95" s="182" t="s">
        <v>77</v>
      </c>
      <c r="E95" s="4">
        <v>40</v>
      </c>
      <c r="F95" s="196" t="s">
        <v>85</v>
      </c>
      <c r="G95" s="243">
        <f>SQRT(Io2rms^2-Io_2^2)</f>
        <v>0</v>
      </c>
      <c r="H95" s="247" t="s">
        <v>3</v>
      </c>
      <c r="I95" s="243">
        <f>1000000*Io_2*Dmax/Co_2/fs+Ipk*VRO*Rc_2/1000/(Vo2+VF2)*KL2</f>
        <v>0</v>
      </c>
      <c r="J95" s="213" t="s">
        <v>3</v>
      </c>
      <c r="M95" s="185"/>
    </row>
    <row r="96" spans="2:13" ht="13.5">
      <c r="B96" s="189" t="s">
        <v>80</v>
      </c>
      <c r="C96" s="4"/>
      <c r="D96" s="182" t="s">
        <v>77</v>
      </c>
      <c r="E96" s="4"/>
      <c r="F96" s="196" t="s">
        <v>85</v>
      </c>
      <c r="G96" s="243" t="e">
        <f>SQRT(Io3rms^2-Io_3^2)</f>
        <v>#DIV/0!</v>
      </c>
      <c r="H96" s="247" t="s">
        <v>3</v>
      </c>
      <c r="I96" s="243" t="e">
        <f>1000000*Io_3*Dmax/Co_3/fs+Ipk*VRO*Rc_3/1000/(Vo3+VF3)*KL3</f>
        <v>#DIV/0!</v>
      </c>
      <c r="J96" s="213" t="s">
        <v>3</v>
      </c>
      <c r="M96" s="185"/>
    </row>
    <row r="97" spans="2:13" ht="13.5">
      <c r="B97" s="189" t="s">
        <v>81</v>
      </c>
      <c r="C97" s="4"/>
      <c r="D97" s="182" t="s">
        <v>77</v>
      </c>
      <c r="E97" s="4"/>
      <c r="F97" s="196" t="s">
        <v>85</v>
      </c>
      <c r="G97" s="243" t="e">
        <f>SQRT(Io4rms^2-Io_4^2)</f>
        <v>#DIV/0!</v>
      </c>
      <c r="H97" s="247" t="s">
        <v>3</v>
      </c>
      <c r="I97" s="243" t="e">
        <f>1000000*Io_4*Dmax/Co_4/fs+Ipk*VRO*Rc_4/1000/(Vo4+VF4)*KL4</f>
        <v>#DIV/0!</v>
      </c>
      <c r="J97" s="213" t="s">
        <v>3</v>
      </c>
      <c r="M97" s="185"/>
    </row>
    <row r="98" spans="2:13" ht="13.5">
      <c r="B98" s="189" t="s">
        <v>82</v>
      </c>
      <c r="C98" s="4"/>
      <c r="D98" s="182" t="s">
        <v>77</v>
      </c>
      <c r="E98" s="4"/>
      <c r="F98" s="196" t="s">
        <v>85</v>
      </c>
      <c r="G98" s="243" t="e">
        <f>SQRT(Io5rms^2-Io_5^2)</f>
        <v>#DIV/0!</v>
      </c>
      <c r="H98" s="247" t="s">
        <v>3</v>
      </c>
      <c r="I98" s="243" t="e">
        <f>1000000*Io_5*Dmax/Co_5/fs+Ipk*VRO*Rc_5/1000/(Vo5+VF5)*KL5</f>
        <v>#DIV/0!</v>
      </c>
      <c r="J98" s="213" t="s">
        <v>3</v>
      </c>
      <c r="M98" s="185"/>
    </row>
    <row r="99" spans="2:13" ht="13.5">
      <c r="B99" s="189" t="s">
        <v>83</v>
      </c>
      <c r="C99" s="4"/>
      <c r="D99" s="182" t="s">
        <v>77</v>
      </c>
      <c r="E99" s="4"/>
      <c r="F99" s="196" t="s">
        <v>85</v>
      </c>
      <c r="G99" s="243" t="e">
        <f>SQRT(Io6rms^2-Io_6^2)</f>
        <v>#DIV/0!</v>
      </c>
      <c r="H99" s="247" t="s">
        <v>3</v>
      </c>
      <c r="I99" s="243" t="e">
        <f>1000000*Io_6*Dmax/Co_6/fs+Ipk*VRO*Rc_6/1000/(Vo6+VF6)*KL6</f>
        <v>#DIV/0!</v>
      </c>
      <c r="J99" s="213" t="s">
        <v>3</v>
      </c>
      <c r="L99" s="185"/>
      <c r="M99" s="185"/>
    </row>
    <row r="100" spans="12:13" ht="13.5">
      <c r="L100" s="185"/>
      <c r="M100" s="185"/>
    </row>
    <row r="101" spans="1:13" ht="13.5">
      <c r="A101" s="179" t="s">
        <v>90</v>
      </c>
      <c r="B101" s="179"/>
      <c r="C101" s="179"/>
      <c r="D101" s="179"/>
      <c r="E101" s="179"/>
      <c r="F101" s="179"/>
      <c r="G101" s="179"/>
      <c r="H101" s="179"/>
      <c r="I101" s="179"/>
      <c r="L101" s="185"/>
      <c r="M101" s="185"/>
    </row>
    <row r="102" spans="2:13" ht="13.5">
      <c r="B102" s="181" t="s">
        <v>91</v>
      </c>
      <c r="C102" s="1">
        <v>4</v>
      </c>
      <c r="D102" s="182" t="s">
        <v>92</v>
      </c>
      <c r="L102" s="185"/>
      <c r="M102" s="185"/>
    </row>
    <row r="103" spans="2:13" ht="13.5">
      <c r="B103" s="181" t="s">
        <v>182</v>
      </c>
      <c r="C103" s="1">
        <v>120</v>
      </c>
      <c r="D103" s="182" t="s">
        <v>93</v>
      </c>
      <c r="F103" s="214"/>
      <c r="L103" s="185"/>
      <c r="M103" s="185"/>
    </row>
    <row r="104" spans="2:13" ht="13.5">
      <c r="B104" s="181" t="s">
        <v>183</v>
      </c>
      <c r="C104" s="1">
        <v>5</v>
      </c>
      <c r="D104" s="182" t="s">
        <v>94</v>
      </c>
      <c r="L104" s="185"/>
      <c r="M104" s="185"/>
    </row>
    <row r="105" spans="2:13" ht="13.5">
      <c r="B105" s="189" t="s">
        <v>95</v>
      </c>
      <c r="C105" s="237">
        <f>C103^2/(0.5*Ipk^2*Llk/1000000*fs)/1000</f>
        <v>55.3846153846154</v>
      </c>
      <c r="D105" s="186" t="s">
        <v>99</v>
      </c>
      <c r="L105" s="185"/>
      <c r="M105" s="185"/>
    </row>
    <row r="106" spans="2:13" ht="13.5">
      <c r="B106" s="189" t="s">
        <v>96</v>
      </c>
      <c r="C106" s="237">
        <f>100/C104/C105/1000/fs*10^9</f>
        <v>5.555555555555554</v>
      </c>
      <c r="D106" s="186" t="s">
        <v>97</v>
      </c>
      <c r="L106" s="185"/>
      <c r="M106" s="185"/>
    </row>
    <row r="107" spans="2:13" ht="13.5">
      <c r="B107" s="189" t="s">
        <v>179</v>
      </c>
      <c r="C107" s="237">
        <f>0.5*Ipk^2*Llk/1000000*fs</f>
        <v>0.25999999999999995</v>
      </c>
      <c r="D107" s="186" t="s">
        <v>98</v>
      </c>
      <c r="E107" s="215" t="s">
        <v>185</v>
      </c>
      <c r="F107" s="215"/>
      <c r="G107" s="215"/>
      <c r="H107" s="215"/>
      <c r="I107" s="215"/>
      <c r="L107" s="185"/>
      <c r="M107" s="185"/>
    </row>
    <row r="108" spans="2:13" ht="13.5">
      <c r="B108" s="189" t="s">
        <v>184</v>
      </c>
      <c r="C108" s="237">
        <f>SQRT(0.5*Rsn*Llk*fs)*Ilim/1000</f>
        <v>169.7056274847714</v>
      </c>
      <c r="D108" s="186" t="s">
        <v>93</v>
      </c>
      <c r="L108" s="216"/>
      <c r="M108" s="216"/>
    </row>
    <row r="109" spans="2:13" ht="13.5">
      <c r="B109" s="189" t="s">
        <v>178</v>
      </c>
      <c r="C109" s="237">
        <f>SQRT(2)*V_line_max+C108</f>
        <v>544.4722215136417</v>
      </c>
      <c r="D109" s="186" t="s">
        <v>93</v>
      </c>
      <c r="M109" s="217"/>
    </row>
    <row r="110" ht="13.5">
      <c r="M110" s="217"/>
    </row>
    <row r="111" spans="1:13" ht="13.5">
      <c r="A111" s="179" t="s">
        <v>100</v>
      </c>
      <c r="B111" s="179"/>
      <c r="C111" s="179"/>
      <c r="D111" s="179"/>
      <c r="E111" s="179"/>
      <c r="F111" s="179"/>
      <c r="G111" s="179"/>
      <c r="H111" s="179"/>
      <c r="I111" s="179"/>
      <c r="L111" s="217"/>
      <c r="M111" s="217"/>
    </row>
    <row r="112" spans="11:13" ht="13.5">
      <c r="K112" s="218"/>
      <c r="M112" s="219"/>
    </row>
    <row r="113" spans="2:13" ht="13.5">
      <c r="B113" s="220" t="s">
        <v>134</v>
      </c>
      <c r="C113" s="244">
        <f>Ilim*(Vo1^2/Po)/3*VRO/(Vo1+VF1)*Vdc_min/(Vdc_min+2*VRO)</f>
        <v>9.964076916626839</v>
      </c>
      <c r="D113" s="221"/>
      <c r="G113" s="222"/>
      <c r="H113" s="222"/>
      <c r="I113" s="222"/>
      <c r="J113" s="222"/>
      <c r="K113" s="193"/>
      <c r="L113" s="223"/>
      <c r="M113" s="217"/>
    </row>
    <row r="114" spans="2:13" ht="13.5">
      <c r="B114" s="220" t="s">
        <v>135</v>
      </c>
      <c r="C114" s="248">
        <f>1/(2*3.14*Rc_1*Co_1)*10^9</f>
        <v>3184.7133757961783</v>
      </c>
      <c r="D114" s="186" t="s">
        <v>102</v>
      </c>
      <c r="E114" s="186"/>
      <c r="K114" s="193"/>
      <c r="L114" s="224"/>
      <c r="M114" s="217"/>
    </row>
    <row r="115" spans="2:13" ht="13.5">
      <c r="B115" s="220" t="s">
        <v>136</v>
      </c>
      <c r="C115" s="248">
        <f>1/(2*3.14)*Vo1/Io_1/Lm/Dmax*(1-Dmax)^2*(VRO/(Vo1+VF1))^2</f>
        <v>21774.227317350043</v>
      </c>
      <c r="D115" s="186" t="s">
        <v>103</v>
      </c>
      <c r="K115" s="193"/>
      <c r="L115" s="223"/>
      <c r="M115" s="217"/>
    </row>
    <row r="116" spans="2:13" ht="13.5">
      <c r="B116" s="220" t="s">
        <v>137</v>
      </c>
      <c r="C116" s="248">
        <f>1/(2*3.14*Vo1^2/Po*Co_1)*10^6</f>
        <v>17.692852087756545</v>
      </c>
      <c r="D116" s="186" t="s">
        <v>4</v>
      </c>
      <c r="K116" s="193"/>
      <c r="L116" s="223"/>
      <c r="M116" s="219"/>
    </row>
    <row r="117" spans="5:13" ht="13.5">
      <c r="E117" s="225"/>
      <c r="F117" s="225"/>
      <c r="K117" s="193"/>
      <c r="L117" s="223"/>
      <c r="M117" s="217"/>
    </row>
    <row r="118" spans="2:13" ht="13.5">
      <c r="B118" s="181" t="s">
        <v>131</v>
      </c>
      <c r="C118" s="1">
        <v>5.6</v>
      </c>
      <c r="D118" s="182" t="s">
        <v>132</v>
      </c>
      <c r="K118" s="193"/>
      <c r="L118" s="224"/>
      <c r="M118" s="216"/>
    </row>
    <row r="119" spans="2:13" ht="13.5">
      <c r="B119" s="181" t="s">
        <v>121</v>
      </c>
      <c r="C119" s="1">
        <v>4.7</v>
      </c>
      <c r="D119" s="182" t="s">
        <v>99</v>
      </c>
      <c r="K119" s="193"/>
      <c r="L119" s="223"/>
      <c r="M119" s="216"/>
    </row>
    <row r="120" spans="2:13" ht="13.5">
      <c r="B120" s="181" t="s">
        <v>120</v>
      </c>
      <c r="C120" s="1">
        <v>1</v>
      </c>
      <c r="D120" s="182" t="s">
        <v>133</v>
      </c>
      <c r="E120" s="226"/>
      <c r="F120" s="176"/>
      <c r="G120" s="176"/>
      <c r="K120" s="193"/>
      <c r="L120" s="227"/>
      <c r="M120" s="185"/>
    </row>
    <row r="121" spans="2:13" ht="13.5">
      <c r="B121" s="181" t="s">
        <v>122</v>
      </c>
      <c r="C121" s="1">
        <v>1.2</v>
      </c>
      <c r="D121" s="182" t="s">
        <v>133</v>
      </c>
      <c r="E121" s="228"/>
      <c r="F121" s="176"/>
      <c r="G121" s="176"/>
      <c r="K121" s="193"/>
      <c r="L121" s="229"/>
      <c r="M121" s="185"/>
    </row>
    <row r="122" spans="2:13" ht="13.5">
      <c r="B122" s="6" t="s">
        <v>124</v>
      </c>
      <c r="C122" s="1">
        <v>4.7</v>
      </c>
      <c r="D122" s="230" t="s">
        <v>123</v>
      </c>
      <c r="K122" s="193"/>
      <c r="L122" s="231"/>
      <c r="M122" s="185"/>
    </row>
    <row r="123" spans="2:13" ht="13.5">
      <c r="B123" s="6" t="s">
        <v>125</v>
      </c>
      <c r="C123" s="1">
        <v>33</v>
      </c>
      <c r="D123" s="230" t="s">
        <v>123</v>
      </c>
      <c r="K123" s="193"/>
      <c r="L123" s="231"/>
      <c r="M123" s="185"/>
    </row>
    <row r="124" spans="2:13" ht="13.5">
      <c r="B124" s="6" t="s">
        <v>126</v>
      </c>
      <c r="C124" s="1">
        <v>2.2</v>
      </c>
      <c r="D124" s="230" t="s">
        <v>99</v>
      </c>
      <c r="K124" s="193"/>
      <c r="L124" s="231"/>
      <c r="M124" s="185"/>
    </row>
    <row r="125" spans="12:13" ht="12" customHeight="1">
      <c r="L125" s="231"/>
      <c r="M125" s="185"/>
    </row>
    <row r="126" spans="2:13" ht="13.5">
      <c r="B126" s="189" t="s">
        <v>117</v>
      </c>
      <c r="C126" s="249">
        <f>3/(2*3.14*C118*C120*C123)*1000000</f>
        <v>2584.9946232111843</v>
      </c>
      <c r="D126" s="186" t="s">
        <v>4</v>
      </c>
      <c r="E126" s="225"/>
      <c r="F126" s="225"/>
      <c r="K126" s="193"/>
      <c r="L126" s="231"/>
      <c r="M126" s="185"/>
    </row>
    <row r="127" spans="2:13" ht="13.5">
      <c r="B127" s="189" t="s">
        <v>118</v>
      </c>
      <c r="C127" s="250">
        <f>1/(2*3.14*C123*(C124+C118))*10^6</f>
        <v>618.6311918795996</v>
      </c>
      <c r="D127" s="186" t="s">
        <v>4</v>
      </c>
      <c r="K127" s="193"/>
      <c r="L127" s="231"/>
      <c r="M127" s="185"/>
    </row>
    <row r="128" spans="2:13" ht="13.5">
      <c r="B128" s="189" t="s">
        <v>119</v>
      </c>
      <c r="C128" s="250">
        <f>1/(2*3.14*3*C122)*1000000</f>
        <v>11293.309843248859</v>
      </c>
      <c r="D128" s="186" t="s">
        <v>4</v>
      </c>
      <c r="K128" s="193"/>
      <c r="L128" s="231"/>
      <c r="M128" s="185"/>
    </row>
    <row r="129" spans="5:13" ht="13.5">
      <c r="E129" s="188"/>
      <c r="K129" s="193"/>
      <c r="L129" s="231"/>
      <c r="M129" s="185"/>
    </row>
    <row r="130" spans="2:13" ht="13.5">
      <c r="B130" s="218"/>
      <c r="C130" s="218"/>
      <c r="D130" s="218"/>
      <c r="E130" s="218"/>
      <c r="F130" s="218"/>
      <c r="G130" s="218"/>
      <c r="H130" s="218"/>
      <c r="I130" s="218"/>
      <c r="J130" s="218"/>
      <c r="K130" s="218"/>
      <c r="L130" s="231"/>
      <c r="M130" s="185"/>
    </row>
    <row r="131" spans="2:13" ht="13.5">
      <c r="B131" s="218">
        <v>16</v>
      </c>
      <c r="C131" s="218">
        <f aca="true" t="shared" si="4" ref="C131:C150">20*LOG(K_1*SQRT(1+B131^2/fz_1^2)*SQRT(1+B131^2/fzr^2)/SQRT(1+B131^2/fp_1^2))</f>
        <v>17.37340515069036</v>
      </c>
      <c r="D131" s="218">
        <f aca="true" t="shared" si="5" ref="D131:D150">20*LOG(fi/B131*SQRT(1+B131^2/fz^2)/SQRT(1+B131^2/fp^2))</f>
        <v>44.16968863742724</v>
      </c>
      <c r="E131" s="218">
        <f aca="true" t="shared" si="6" ref="E131:E150">SUM(C131:D131)</f>
        <v>61.5430937881176</v>
      </c>
      <c r="F131" s="218"/>
      <c r="G131" s="218">
        <v>16</v>
      </c>
      <c r="H131" s="218">
        <f aca="true" t="shared" si="7" ref="H131:H150">180/3.14*(ATAN(G131/fz_1)-ATAN(G131/fzr)-ATAN(G131/fp_1))</f>
        <v>-41.89916049590722</v>
      </c>
      <c r="I131" s="218">
        <f aca="true" t="shared" si="8" ref="I131:I150">180/3.14*(ATAN(G131/fz)-ATAN(G131/fp))-90</f>
        <v>-88.59892240029829</v>
      </c>
      <c r="J131" s="218">
        <f aca="true" t="shared" si="9" ref="J131:J150">SUM(H131:I131)</f>
        <v>-130.49808289620552</v>
      </c>
      <c r="K131" s="218"/>
      <c r="L131" s="231"/>
      <c r="M131" s="185"/>
    </row>
    <row r="132" spans="2:13" ht="13.5">
      <c r="B132" s="218">
        <v>25</v>
      </c>
      <c r="C132" s="218">
        <f t="shared" si="4"/>
        <v>15.202771943680425</v>
      </c>
      <c r="D132" s="218">
        <f t="shared" si="5"/>
        <v>40.29745816312661</v>
      </c>
      <c r="E132" s="218">
        <f t="shared" si="6"/>
        <v>55.50023010680704</v>
      </c>
      <c r="F132" s="218"/>
      <c r="G132" s="218">
        <v>25</v>
      </c>
      <c r="H132" s="218">
        <f t="shared" si="7"/>
        <v>-54.35599717306675</v>
      </c>
      <c r="I132" s="218">
        <f t="shared" si="8"/>
        <v>-87.81155964875413</v>
      </c>
      <c r="J132" s="218">
        <f t="shared" si="9"/>
        <v>-142.16755682182088</v>
      </c>
      <c r="K132" s="218"/>
      <c r="L132" s="231"/>
      <c r="M132" s="185"/>
    </row>
    <row r="133" spans="2:13" ht="13.5">
      <c r="B133" s="218">
        <v>40</v>
      </c>
      <c r="C133" s="218">
        <f t="shared" si="4"/>
        <v>12.108164349126387</v>
      </c>
      <c r="D133" s="218">
        <f t="shared" si="5"/>
        <v>36.22605758000311</v>
      </c>
      <c r="E133" s="218">
        <f t="shared" si="6"/>
        <v>48.3342219291295</v>
      </c>
      <c r="F133" s="218"/>
      <c r="G133" s="218">
        <v>40</v>
      </c>
      <c r="H133" s="218">
        <f t="shared" si="7"/>
        <v>-65.55806479572989</v>
      </c>
      <c r="I133" s="218">
        <f t="shared" si="8"/>
        <v>-86.5016316581319</v>
      </c>
      <c r="J133" s="218">
        <f t="shared" si="9"/>
        <v>-152.0596964538618</v>
      </c>
      <c r="K133" s="218"/>
      <c r="L133" s="231"/>
      <c r="M133" s="185"/>
    </row>
    <row r="134" spans="2:13" ht="13.5">
      <c r="B134" s="218">
        <v>63</v>
      </c>
      <c r="C134" s="218">
        <f t="shared" si="4"/>
        <v>8.609929730129679</v>
      </c>
      <c r="D134" s="218">
        <f t="shared" si="5"/>
        <v>32.307055142854146</v>
      </c>
      <c r="E134" s="218">
        <f t="shared" si="6"/>
        <v>40.916984872983825</v>
      </c>
      <c r="F134" s="218"/>
      <c r="G134" s="218">
        <v>63</v>
      </c>
      <c r="H134" s="218">
        <f t="shared" si="7"/>
        <v>-73.38289079872246</v>
      </c>
      <c r="I134" s="218">
        <f t="shared" si="8"/>
        <v>-84.50200926501995</v>
      </c>
      <c r="J134" s="218">
        <f t="shared" si="9"/>
        <v>-157.8849000637424</v>
      </c>
      <c r="K134" s="218"/>
      <c r="L134" s="231"/>
      <c r="M134" s="185"/>
    </row>
    <row r="135" spans="2:13" ht="13.5">
      <c r="B135" s="218">
        <v>100</v>
      </c>
      <c r="C135" s="218">
        <f t="shared" si="4"/>
        <v>4.7952040588967595</v>
      </c>
      <c r="D135" s="218">
        <f t="shared" si="5"/>
        <v>28.360875451115845</v>
      </c>
      <c r="E135" s="218">
        <f t="shared" si="6"/>
        <v>33.1560795100126</v>
      </c>
      <c r="F135" s="218"/>
      <c r="G135" s="218">
        <v>100</v>
      </c>
      <c r="H135" s="218">
        <f t="shared" si="7"/>
        <v>-78.47099581253215</v>
      </c>
      <c r="I135" s="218">
        <f t="shared" si="8"/>
        <v>-81.32065430150723</v>
      </c>
      <c r="J135" s="218">
        <f t="shared" si="9"/>
        <v>-159.79165011403938</v>
      </c>
      <c r="K135" s="218"/>
      <c r="L135" s="231"/>
      <c r="M135" s="185"/>
    </row>
    <row r="136" spans="2:13" ht="13.5">
      <c r="B136" s="218">
        <v>160</v>
      </c>
      <c r="C136" s="218">
        <f t="shared" si="4"/>
        <v>0.8006977332296417</v>
      </c>
      <c r="D136" s="218">
        <f t="shared" si="5"/>
        <v>24.447127525229423</v>
      </c>
      <c r="E136" s="218">
        <f t="shared" si="6"/>
        <v>25.247825258459063</v>
      </c>
      <c r="F136" s="218"/>
      <c r="G136" s="218">
        <v>160</v>
      </c>
      <c r="H136" s="218">
        <f t="shared" si="7"/>
        <v>-81.27594222658077</v>
      </c>
      <c r="I136" s="218">
        <f t="shared" si="8"/>
        <v>-76.30378735786367</v>
      </c>
      <c r="J136" s="218">
        <f t="shared" si="9"/>
        <v>-157.57972958444444</v>
      </c>
      <c r="K136" s="218"/>
      <c r="L136" s="231"/>
      <c r="M136" s="185"/>
    </row>
    <row r="137" spans="2:13" ht="13.5">
      <c r="B137" s="218">
        <v>250</v>
      </c>
      <c r="C137" s="218">
        <f t="shared" si="4"/>
        <v>-3.02854689946855</v>
      </c>
      <c r="D137" s="218">
        <f t="shared" si="5"/>
        <v>20.945224666983457</v>
      </c>
      <c r="E137" s="218">
        <f t="shared" si="6"/>
        <v>17.916677767514905</v>
      </c>
      <c r="F137" s="218"/>
      <c r="G137" s="218">
        <v>250</v>
      </c>
      <c r="H137" s="218">
        <f t="shared" si="7"/>
        <v>-82.16279603619239</v>
      </c>
      <c r="I137" s="218">
        <f t="shared" si="8"/>
        <v>-69.25311152465754</v>
      </c>
      <c r="J137" s="218">
        <f t="shared" si="9"/>
        <v>-151.41590756084992</v>
      </c>
      <c r="K137" s="218"/>
      <c r="L137" s="231"/>
      <c r="M137" s="185"/>
    </row>
    <row r="138" spans="2:13" ht="13.5">
      <c r="B138" s="218">
        <v>400</v>
      </c>
      <c r="C138" s="218">
        <f t="shared" si="4"/>
        <v>-7.05554795012959</v>
      </c>
      <c r="D138" s="218">
        <f t="shared" si="5"/>
        <v>17.719546525666228</v>
      </c>
      <c r="E138" s="218">
        <f t="shared" si="6"/>
        <v>10.663998575536638</v>
      </c>
      <c r="F138" s="218"/>
      <c r="G138" s="218">
        <v>400</v>
      </c>
      <c r="H138" s="218">
        <f t="shared" si="7"/>
        <v>-81.40216614318895</v>
      </c>
      <c r="I138" s="218">
        <f t="shared" si="8"/>
        <v>-59.12661496234143</v>
      </c>
      <c r="J138" s="218">
        <f t="shared" si="9"/>
        <v>-140.52878110553038</v>
      </c>
      <c r="K138" s="218"/>
      <c r="L138" s="231"/>
      <c r="M138" s="185"/>
    </row>
    <row r="139" spans="2:13" ht="13.5">
      <c r="B139" s="218">
        <v>630</v>
      </c>
      <c r="C139" s="218">
        <f t="shared" si="4"/>
        <v>-10.89519213094867</v>
      </c>
      <c r="D139" s="218">
        <f t="shared" si="5"/>
        <v>15.338995051171494</v>
      </c>
      <c r="E139" s="218">
        <f t="shared" si="6"/>
        <v>4.443802920222824</v>
      </c>
      <c r="F139" s="218"/>
      <c r="G139" s="218">
        <v>630</v>
      </c>
      <c r="H139" s="218">
        <f t="shared" si="7"/>
        <v>-78.89884413755483</v>
      </c>
      <c r="I139" s="218">
        <f t="shared" si="8"/>
        <v>-47.64981504467393</v>
      </c>
      <c r="J139" s="218">
        <f t="shared" si="9"/>
        <v>-126.54865918222876</v>
      </c>
      <c r="K139" s="218"/>
      <c r="L139" s="231"/>
      <c r="M139" s="185"/>
    </row>
    <row r="140" spans="2:12" ht="13.5">
      <c r="B140" s="218">
        <v>1000</v>
      </c>
      <c r="C140" s="218">
        <f t="shared" si="4"/>
        <v>-14.659130368038017</v>
      </c>
      <c r="D140" s="218">
        <f t="shared" si="5"/>
        <v>13.793931397966485</v>
      </c>
      <c r="E140" s="218">
        <f t="shared" si="6"/>
        <v>-0.8651989700715319</v>
      </c>
      <c r="F140" s="218"/>
      <c r="G140" s="218">
        <v>1000</v>
      </c>
      <c r="H140" s="218">
        <f t="shared" si="7"/>
        <v>-74.22122838161243</v>
      </c>
      <c r="I140" s="218">
        <f t="shared" si="8"/>
        <v>-36.77547394129206</v>
      </c>
      <c r="J140" s="218">
        <f t="shared" si="9"/>
        <v>-110.9967023229045</v>
      </c>
      <c r="K140" s="218"/>
      <c r="L140" s="231"/>
    </row>
    <row r="141" spans="2:12" ht="13.5">
      <c r="B141" s="218">
        <v>1600</v>
      </c>
      <c r="C141" s="218">
        <f t="shared" si="4"/>
        <v>-18.15739505091566</v>
      </c>
      <c r="D141" s="218">
        <f t="shared" si="5"/>
        <v>12.939313953339015</v>
      </c>
      <c r="E141" s="218">
        <f t="shared" si="6"/>
        <v>-5.218081097576645</v>
      </c>
      <c r="F141" s="218"/>
      <c r="G141" s="218">
        <v>1600</v>
      </c>
      <c r="H141" s="218">
        <f t="shared" si="7"/>
        <v>-66.92804252283308</v>
      </c>
      <c r="I141" s="218">
        <f t="shared" si="8"/>
        <v>-29.1716976629951</v>
      </c>
      <c r="J141" s="218">
        <f t="shared" si="9"/>
        <v>-96.09974018582818</v>
      </c>
      <c r="K141" s="218"/>
      <c r="L141" s="231"/>
    </row>
    <row r="142" spans="2:12" ht="13.5">
      <c r="B142" s="218">
        <v>2500</v>
      </c>
      <c r="C142" s="218">
        <f t="shared" si="4"/>
        <v>-20.892424748473108</v>
      </c>
      <c r="D142" s="218">
        <f t="shared" si="5"/>
        <v>12.470888714346453</v>
      </c>
      <c r="E142" s="218">
        <f t="shared" si="6"/>
        <v>-8.421536034126655</v>
      </c>
      <c r="F142" s="218"/>
      <c r="G142" s="218">
        <v>2500</v>
      </c>
      <c r="H142" s="218">
        <f t="shared" si="7"/>
        <v>-58.041741754228156</v>
      </c>
      <c r="I142" s="218">
        <f t="shared" si="8"/>
        <v>-26.348784979012343</v>
      </c>
      <c r="J142" s="218">
        <f t="shared" si="9"/>
        <v>-84.3905267332405</v>
      </c>
      <c r="K142" s="218"/>
      <c r="L142" s="193"/>
    </row>
    <row r="143" spans="2:12" ht="13.5">
      <c r="B143" s="218">
        <v>4000</v>
      </c>
      <c r="C143" s="218">
        <f t="shared" si="4"/>
        <v>-22.860396638086</v>
      </c>
      <c r="D143" s="218">
        <f t="shared" si="5"/>
        <v>12.009943105343035</v>
      </c>
      <c r="E143" s="218">
        <f t="shared" si="6"/>
        <v>-10.850453532742966</v>
      </c>
      <c r="F143" s="218"/>
      <c r="G143" s="218">
        <v>4000</v>
      </c>
      <c r="H143" s="218">
        <f t="shared" si="7"/>
        <v>-48.706677733890224</v>
      </c>
      <c r="I143" s="218">
        <f t="shared" si="8"/>
        <v>-28.26402597012263</v>
      </c>
      <c r="J143" s="218">
        <f t="shared" si="9"/>
        <v>-76.97070370401286</v>
      </c>
      <c r="K143" s="218"/>
      <c r="L143" s="193"/>
    </row>
    <row r="144" spans="2:12" ht="13.5">
      <c r="B144" s="218">
        <v>6300</v>
      </c>
      <c r="C144" s="218">
        <f t="shared" si="4"/>
        <v>-23.79929103227949</v>
      </c>
      <c r="D144" s="218">
        <f t="shared" si="5"/>
        <v>11.28554507571463</v>
      </c>
      <c r="E144" s="218">
        <f t="shared" si="6"/>
        <v>-12.513745956564861</v>
      </c>
      <c r="F144" s="218"/>
      <c r="G144" s="218">
        <v>6300</v>
      </c>
      <c r="H144" s="218">
        <f t="shared" si="7"/>
        <v>-42.814748484523754</v>
      </c>
      <c r="I144" s="218">
        <f t="shared" si="8"/>
        <v>-34.73525530149187</v>
      </c>
      <c r="J144" s="218">
        <f t="shared" si="9"/>
        <v>-77.55000378601562</v>
      </c>
      <c r="K144" s="218"/>
      <c r="L144" s="193"/>
    </row>
    <row r="145" spans="2:12" ht="13.5">
      <c r="B145" s="218">
        <v>10000</v>
      </c>
      <c r="C145" s="218">
        <f t="shared" si="4"/>
        <v>-23.886028112280414</v>
      </c>
      <c r="D145" s="218">
        <f t="shared" si="5"/>
        <v>9.923014869830455</v>
      </c>
      <c r="E145" s="218">
        <f t="shared" si="6"/>
        <v>-13.963013242449959</v>
      </c>
      <c r="F145" s="218"/>
      <c r="G145" s="218">
        <v>10000</v>
      </c>
      <c r="H145" s="218">
        <f t="shared" si="7"/>
        <v>-42.25259152256774</v>
      </c>
      <c r="I145" s="218">
        <f t="shared" si="8"/>
        <v>-45.04143977049428</v>
      </c>
      <c r="J145" s="218">
        <f t="shared" si="9"/>
        <v>-87.29403129306202</v>
      </c>
      <c r="K145" s="218"/>
      <c r="L145" s="193"/>
    </row>
    <row r="146" spans="2:12" ht="13.5">
      <c r="B146" s="218">
        <v>16000</v>
      </c>
      <c r="C146" s="218">
        <f t="shared" si="4"/>
        <v>-23.092903552216338</v>
      </c>
      <c r="D146" s="218">
        <f t="shared" si="5"/>
        <v>7.645375486813581</v>
      </c>
      <c r="E146" s="218">
        <f t="shared" si="6"/>
        <v>-15.447528065402757</v>
      </c>
      <c r="F146" s="218"/>
      <c r="G146" s="218">
        <v>16000</v>
      </c>
      <c r="H146" s="218">
        <f t="shared" si="7"/>
        <v>-47.52697797160049</v>
      </c>
      <c r="I146" s="218">
        <f t="shared" si="8"/>
        <v>-56.981805820949425</v>
      </c>
      <c r="J146" s="218">
        <f t="shared" si="9"/>
        <v>-104.5087837925499</v>
      </c>
      <c r="K146" s="218"/>
      <c r="L146" s="193"/>
    </row>
    <row r="147" spans="2:12" ht="13.5">
      <c r="B147" s="218">
        <v>25000</v>
      </c>
      <c r="C147" s="218">
        <f t="shared" si="4"/>
        <v>-21.415215867582198</v>
      </c>
      <c r="D147" s="218">
        <f t="shared" si="5"/>
        <v>4.714350732023184</v>
      </c>
      <c r="E147" s="218">
        <f t="shared" si="6"/>
        <v>-16.700865135559013</v>
      </c>
      <c r="F147" s="218"/>
      <c r="G147" s="218">
        <v>25000</v>
      </c>
      <c r="H147" s="218">
        <f t="shared" si="7"/>
        <v>-56.192804600620434</v>
      </c>
      <c r="I147" s="218">
        <f t="shared" si="8"/>
        <v>-67.09566192797436</v>
      </c>
      <c r="J147" s="218">
        <f t="shared" si="9"/>
        <v>-123.2884665285948</v>
      </c>
      <c r="K147" s="218"/>
      <c r="L147" s="193"/>
    </row>
    <row r="148" spans="2:12" ht="13.5">
      <c r="B148" s="218">
        <v>40000</v>
      </c>
      <c r="C148" s="218">
        <f t="shared" si="4"/>
        <v>-18.699789079647744</v>
      </c>
      <c r="D148" s="218">
        <f t="shared" si="5"/>
        <v>1.1037419249960472</v>
      </c>
      <c r="E148" s="218">
        <f t="shared" si="6"/>
        <v>-17.596047154651696</v>
      </c>
      <c r="F148" s="218"/>
      <c r="G148" s="218">
        <v>40000</v>
      </c>
      <c r="H148" s="218">
        <f t="shared" si="7"/>
        <v>-65.99836478839352</v>
      </c>
      <c r="I148" s="218">
        <f t="shared" si="8"/>
        <v>-75.1123950082991</v>
      </c>
      <c r="J148" s="218">
        <f t="shared" si="9"/>
        <v>-141.1107597966926</v>
      </c>
      <c r="K148" s="218"/>
      <c r="L148" s="193"/>
    </row>
    <row r="149" spans="2:12" ht="13.5">
      <c r="B149" s="218">
        <v>63000</v>
      </c>
      <c r="C149" s="218">
        <f t="shared" si="4"/>
        <v>-15.407602772302532</v>
      </c>
      <c r="D149" s="218">
        <f t="shared" si="5"/>
        <v>-2.6467705543879982</v>
      </c>
      <c r="E149" s="218">
        <f t="shared" si="6"/>
        <v>-18.05437332669053</v>
      </c>
      <c r="F149" s="218"/>
      <c r="G149" s="218">
        <v>63000</v>
      </c>
      <c r="H149" s="218">
        <f t="shared" si="7"/>
        <v>-73.84893416587681</v>
      </c>
      <c r="I149" s="218">
        <f t="shared" si="8"/>
        <v>-80.39489254645336</v>
      </c>
      <c r="J149" s="218">
        <f t="shared" si="9"/>
        <v>-154.2438267123302</v>
      </c>
      <c r="K149" s="218"/>
      <c r="L149" s="193"/>
    </row>
    <row r="150" spans="2:12" ht="13.5">
      <c r="B150" s="218">
        <v>100000</v>
      </c>
      <c r="C150" s="218">
        <f t="shared" si="4"/>
        <v>-11.68998710742325</v>
      </c>
      <c r="D150" s="218">
        <f t="shared" si="5"/>
        <v>-6.577891493734896</v>
      </c>
      <c r="E150" s="218">
        <f t="shared" si="6"/>
        <v>-18.267878601158145</v>
      </c>
      <c r="F150" s="218"/>
      <c r="G150" s="218">
        <v>100000</v>
      </c>
      <c r="H150" s="218">
        <f t="shared" si="7"/>
        <v>-79.57031742134438</v>
      </c>
      <c r="I150" s="218">
        <f t="shared" si="8"/>
        <v>-83.90806656549752</v>
      </c>
      <c r="J150" s="218">
        <f t="shared" si="9"/>
        <v>-163.4783839868419</v>
      </c>
      <c r="K150" s="218"/>
      <c r="L150" s="193"/>
    </row>
    <row r="151" spans="2:12" ht="13.5">
      <c r="B151" s="218"/>
      <c r="C151" s="218"/>
      <c r="D151" s="218"/>
      <c r="E151" s="218"/>
      <c r="F151" s="218"/>
      <c r="G151" s="218"/>
      <c r="H151" s="218"/>
      <c r="I151" s="218"/>
      <c r="J151" s="218"/>
      <c r="K151" s="218"/>
      <c r="L151" s="193"/>
    </row>
    <row r="152" spans="11:12" ht="13.5">
      <c r="K152" s="193"/>
      <c r="L152" s="193"/>
    </row>
    <row r="153" spans="11:12" ht="13.5">
      <c r="K153" s="193"/>
      <c r="L153" s="193"/>
    </row>
    <row r="154" spans="11:12" ht="13.5">
      <c r="K154" s="193"/>
      <c r="L154" s="193"/>
    </row>
    <row r="155" spans="7:11" ht="13.5">
      <c r="G155" s="193"/>
      <c r="H155" s="193"/>
      <c r="I155" s="193"/>
      <c r="J155" s="193"/>
      <c r="K155" s="193"/>
    </row>
    <row r="156" spans="1:10" ht="13.5">
      <c r="A156" s="188"/>
      <c r="F156" s="188"/>
      <c r="G156" s="188"/>
      <c r="H156" s="188"/>
      <c r="I156" s="188"/>
      <c r="J156" s="188"/>
    </row>
    <row r="157" spans="1:10" ht="13.5">
      <c r="A157" s="206"/>
      <c r="F157" s="206"/>
      <c r="G157" s="206"/>
      <c r="H157" s="206"/>
      <c r="I157" s="206"/>
      <c r="J157" s="218"/>
    </row>
    <row r="158" spans="1:10" ht="13.5">
      <c r="A158" s="188"/>
      <c r="F158" s="188"/>
      <c r="G158" s="188"/>
      <c r="H158" s="188"/>
      <c r="I158" s="188"/>
      <c r="J158" s="188"/>
    </row>
    <row r="181" spans="1:9" ht="13.5">
      <c r="A181" s="188"/>
      <c r="B181" s="188"/>
      <c r="C181" s="188"/>
      <c r="D181" s="188"/>
      <c r="E181" s="188"/>
      <c r="F181" s="188"/>
      <c r="G181" s="188"/>
      <c r="H181" s="188"/>
      <c r="I181" s="188"/>
    </row>
    <row r="182" spans="1:9" ht="13.5">
      <c r="A182" s="188"/>
      <c r="B182" s="188"/>
      <c r="C182" s="188"/>
      <c r="D182" s="188"/>
      <c r="E182" s="188"/>
      <c r="F182" s="188"/>
      <c r="G182" s="188"/>
      <c r="H182" s="188"/>
      <c r="I182" s="188"/>
    </row>
    <row r="183" spans="1:9" ht="13.5">
      <c r="A183" s="188"/>
      <c r="B183" s="188"/>
      <c r="C183" s="188"/>
      <c r="D183" s="188"/>
      <c r="E183" s="188"/>
      <c r="F183" s="188"/>
      <c r="G183" s="188"/>
      <c r="H183" s="188"/>
      <c r="I183" s="188"/>
    </row>
    <row r="184" spans="1:9" ht="13.5">
      <c r="A184" s="188"/>
      <c r="B184" s="188"/>
      <c r="C184" s="188"/>
      <c r="D184" s="188"/>
      <c r="E184" s="188"/>
      <c r="F184" s="188"/>
      <c r="G184" s="188"/>
      <c r="H184" s="188"/>
      <c r="I184" s="188"/>
    </row>
    <row r="185" spans="1:9" ht="13.5">
      <c r="A185" s="188"/>
      <c r="B185" s="188"/>
      <c r="C185" s="188"/>
      <c r="D185" s="188"/>
      <c r="E185" s="188"/>
      <c r="F185" s="188"/>
      <c r="G185" s="188"/>
      <c r="H185" s="188"/>
      <c r="I185" s="188"/>
    </row>
    <row r="186" spans="1:9" ht="13.5">
      <c r="A186" s="206"/>
      <c r="B186" s="206"/>
      <c r="C186" s="206"/>
      <c r="D186" s="206"/>
      <c r="E186" s="206"/>
      <c r="F186" s="206"/>
      <c r="G186" s="206"/>
      <c r="H186" s="206"/>
      <c r="I186" s="206"/>
    </row>
    <row r="187" spans="1:9" ht="13.5">
      <c r="A187" s="188"/>
      <c r="B187" s="6"/>
      <c r="C187" s="6"/>
      <c r="D187" s="230"/>
      <c r="E187" s="188"/>
      <c r="F187" s="188"/>
      <c r="G187" s="188"/>
      <c r="H187" s="188"/>
      <c r="I187" s="188"/>
    </row>
    <row r="188" spans="1:9" ht="13.5">
      <c r="A188" s="188"/>
      <c r="B188" s="6"/>
      <c r="C188" s="6"/>
      <c r="D188" s="230"/>
      <c r="E188" s="188"/>
      <c r="F188" s="188"/>
      <c r="G188" s="188"/>
      <c r="H188" s="188"/>
      <c r="I188" s="188"/>
    </row>
    <row r="189" spans="1:9" ht="13.5">
      <c r="A189" s="188"/>
      <c r="B189" s="6"/>
      <c r="C189" s="6"/>
      <c r="D189" s="230"/>
      <c r="E189" s="188"/>
      <c r="F189" s="188"/>
      <c r="G189" s="188"/>
      <c r="H189" s="188"/>
      <c r="I189" s="188"/>
    </row>
    <row r="190" spans="1:9" ht="13.5">
      <c r="A190" s="188"/>
      <c r="B190" s="6"/>
      <c r="C190" s="6"/>
      <c r="D190" s="230"/>
      <c r="E190" s="188"/>
      <c r="F190" s="188"/>
      <c r="G190" s="188"/>
      <c r="H190" s="188"/>
      <c r="I190" s="188"/>
    </row>
    <row r="191" spans="1:9" ht="13.5">
      <c r="A191" s="188"/>
      <c r="B191" s="6"/>
      <c r="C191" s="6"/>
      <c r="D191" s="230"/>
      <c r="E191" s="188"/>
      <c r="F191" s="188"/>
      <c r="G191" s="188"/>
      <c r="H191" s="188"/>
      <c r="I191" s="188"/>
    </row>
    <row r="192" spans="1:9" ht="13.5">
      <c r="A192" s="188"/>
      <c r="B192" s="6"/>
      <c r="C192" s="6"/>
      <c r="D192" s="230"/>
      <c r="E192" s="188"/>
      <c r="F192" s="188"/>
      <c r="G192" s="188"/>
      <c r="H192" s="188"/>
      <c r="I192" s="188"/>
    </row>
    <row r="193" spans="1:9" ht="13.5">
      <c r="A193" s="188"/>
      <c r="B193" s="6"/>
      <c r="C193" s="6"/>
      <c r="D193" s="230"/>
      <c r="E193" s="188"/>
      <c r="F193" s="188"/>
      <c r="G193" s="188"/>
      <c r="H193" s="188"/>
      <c r="I193" s="188"/>
    </row>
    <row r="194" spans="1:9" ht="13.5">
      <c r="A194" s="188"/>
      <c r="B194" s="188"/>
      <c r="C194" s="188"/>
      <c r="D194" s="188"/>
      <c r="E194" s="188"/>
      <c r="F194" s="188"/>
      <c r="G194" s="188"/>
      <c r="H194" s="188"/>
      <c r="I194" s="188"/>
    </row>
    <row r="195" spans="1:9" ht="13.5">
      <c r="A195" s="188"/>
      <c r="B195" s="232"/>
      <c r="C195" s="233"/>
      <c r="D195" s="234"/>
      <c r="E195" s="188"/>
      <c r="F195" s="188"/>
      <c r="G195" s="188"/>
      <c r="H195" s="188"/>
      <c r="I195" s="188"/>
    </row>
    <row r="196" spans="1:9" ht="13.5">
      <c r="A196" s="188"/>
      <c r="B196" s="232"/>
      <c r="C196" s="232"/>
      <c r="D196" s="234"/>
      <c r="E196" s="188"/>
      <c r="F196" s="188"/>
      <c r="G196" s="188"/>
      <c r="H196" s="188"/>
      <c r="I196" s="188"/>
    </row>
    <row r="197" spans="1:9" ht="13.5">
      <c r="A197" s="188"/>
      <c r="B197" s="232"/>
      <c r="C197" s="232"/>
      <c r="D197" s="234"/>
      <c r="E197" s="188"/>
      <c r="F197" s="188"/>
      <c r="G197" s="188"/>
      <c r="H197" s="188"/>
      <c r="I197" s="188"/>
    </row>
    <row r="198" spans="1:9" ht="13.5">
      <c r="A198" s="188"/>
      <c r="B198" s="188"/>
      <c r="C198" s="188"/>
      <c r="D198" s="188"/>
      <c r="E198" s="188"/>
      <c r="F198" s="188"/>
      <c r="G198" s="188"/>
      <c r="H198" s="188"/>
      <c r="I198" s="188"/>
    </row>
    <row r="199" spans="1:10" ht="13.5">
      <c r="A199" s="188"/>
      <c r="B199" s="230"/>
      <c r="C199" s="230"/>
      <c r="D199" s="230"/>
      <c r="E199" s="230"/>
      <c r="F199" s="230"/>
      <c r="G199" s="230"/>
      <c r="H199" s="230"/>
      <c r="I199" s="230"/>
      <c r="J199" s="182"/>
    </row>
    <row r="200" spans="1:10" ht="13.5">
      <c r="A200" s="218"/>
      <c r="B200" s="218"/>
      <c r="C200" s="218"/>
      <c r="D200" s="218"/>
      <c r="E200" s="218"/>
      <c r="F200" s="218"/>
      <c r="G200" s="218"/>
      <c r="H200" s="218"/>
      <c r="I200" s="218"/>
      <c r="J200" s="182"/>
    </row>
    <row r="201" spans="1:10" ht="13.5">
      <c r="A201" s="218"/>
      <c r="B201" s="218"/>
      <c r="C201" s="218"/>
      <c r="D201" s="218"/>
      <c r="E201" s="218"/>
      <c r="F201" s="218"/>
      <c r="G201" s="218"/>
      <c r="H201" s="218"/>
      <c r="I201" s="218"/>
      <c r="J201" s="182"/>
    </row>
    <row r="202" spans="1:10" ht="13.5">
      <c r="A202" s="222"/>
      <c r="B202" s="222"/>
      <c r="C202" s="222"/>
      <c r="D202" s="218"/>
      <c r="E202" s="222"/>
      <c r="F202" s="222"/>
      <c r="G202" s="222"/>
      <c r="H202" s="222"/>
      <c r="I202" s="218"/>
      <c r="J202" s="182"/>
    </row>
    <row r="203" spans="1:10" ht="13.5">
      <c r="A203" s="222"/>
      <c r="B203" s="222"/>
      <c r="C203" s="222"/>
      <c r="D203" s="218"/>
      <c r="E203" s="222"/>
      <c r="F203" s="222"/>
      <c r="G203" s="222"/>
      <c r="H203" s="222"/>
      <c r="I203" s="218"/>
      <c r="J203" s="182"/>
    </row>
    <row r="204" spans="1:10" ht="13.5">
      <c r="A204" s="222"/>
      <c r="B204" s="222"/>
      <c r="C204" s="222"/>
      <c r="D204" s="218"/>
      <c r="E204" s="222"/>
      <c r="F204" s="222"/>
      <c r="G204" s="222"/>
      <c r="H204" s="222"/>
      <c r="I204" s="218"/>
      <c r="J204" s="182"/>
    </row>
    <row r="205" spans="1:10" ht="13.5">
      <c r="A205" s="222"/>
      <c r="B205" s="222"/>
      <c r="C205" s="222"/>
      <c r="D205" s="218"/>
      <c r="E205" s="222"/>
      <c r="F205" s="222"/>
      <c r="G205" s="222"/>
      <c r="H205" s="222"/>
      <c r="I205" s="218"/>
      <c r="J205" s="182"/>
    </row>
    <row r="206" spans="1:10" ht="13.5">
      <c r="A206" s="222"/>
      <c r="B206" s="222"/>
      <c r="C206" s="222"/>
      <c r="D206" s="218"/>
      <c r="E206" s="222"/>
      <c r="F206" s="222"/>
      <c r="G206" s="222"/>
      <c r="H206" s="222"/>
      <c r="I206" s="218"/>
      <c r="J206" s="182"/>
    </row>
    <row r="207" spans="1:10" ht="13.5">
      <c r="A207" s="222"/>
      <c r="B207" s="222"/>
      <c r="C207" s="222"/>
      <c r="D207" s="218"/>
      <c r="E207" s="222"/>
      <c r="F207" s="222"/>
      <c r="G207" s="222"/>
      <c r="H207" s="222"/>
      <c r="I207" s="218"/>
      <c r="J207" s="182"/>
    </row>
    <row r="208" spans="1:10" ht="13.5">
      <c r="A208" s="222"/>
      <c r="B208" s="222"/>
      <c r="C208" s="222"/>
      <c r="D208" s="218"/>
      <c r="E208" s="222"/>
      <c r="F208" s="222"/>
      <c r="G208" s="222"/>
      <c r="H208" s="222"/>
      <c r="I208" s="218"/>
      <c r="J208" s="182"/>
    </row>
    <row r="209" spans="1:10" ht="13.5">
      <c r="A209" s="222"/>
      <c r="B209" s="222"/>
      <c r="C209" s="222"/>
      <c r="D209" s="218"/>
      <c r="E209" s="222"/>
      <c r="F209" s="222"/>
      <c r="G209" s="222"/>
      <c r="H209" s="222"/>
      <c r="I209" s="218"/>
      <c r="J209" s="182"/>
    </row>
    <row r="210" spans="1:10" ht="13.5">
      <c r="A210" s="222"/>
      <c r="B210" s="222"/>
      <c r="C210" s="222"/>
      <c r="D210" s="218"/>
      <c r="E210" s="222"/>
      <c r="F210" s="222"/>
      <c r="G210" s="222"/>
      <c r="H210" s="222"/>
      <c r="I210" s="218"/>
      <c r="J210" s="182"/>
    </row>
    <row r="211" spans="1:10" ht="13.5">
      <c r="A211" s="222"/>
      <c r="B211" s="222"/>
      <c r="C211" s="222"/>
      <c r="D211" s="218"/>
      <c r="E211" s="222"/>
      <c r="F211" s="222"/>
      <c r="G211" s="222"/>
      <c r="H211" s="222"/>
      <c r="I211" s="218"/>
      <c r="J211" s="182"/>
    </row>
    <row r="212" spans="1:10" ht="13.5">
      <c r="A212" s="222"/>
      <c r="B212" s="222"/>
      <c r="C212" s="222"/>
      <c r="D212" s="218"/>
      <c r="E212" s="222"/>
      <c r="F212" s="222"/>
      <c r="G212" s="222"/>
      <c r="H212" s="222"/>
      <c r="I212" s="218"/>
      <c r="J212" s="182"/>
    </row>
    <row r="213" spans="1:10" ht="13.5">
      <c r="A213" s="222"/>
      <c r="B213" s="222"/>
      <c r="C213" s="222"/>
      <c r="D213" s="218"/>
      <c r="E213" s="222"/>
      <c r="F213" s="222"/>
      <c r="G213" s="222"/>
      <c r="H213" s="222"/>
      <c r="I213" s="218"/>
      <c r="J213" s="182"/>
    </row>
    <row r="214" spans="1:10" ht="13.5">
      <c r="A214" s="222"/>
      <c r="B214" s="222"/>
      <c r="C214" s="222"/>
      <c r="D214" s="218"/>
      <c r="E214" s="222"/>
      <c r="F214" s="222"/>
      <c r="G214" s="222"/>
      <c r="H214" s="222"/>
      <c r="I214" s="218"/>
      <c r="J214" s="182"/>
    </row>
    <row r="215" spans="1:10" ht="13.5">
      <c r="A215" s="222"/>
      <c r="B215" s="222"/>
      <c r="C215" s="222"/>
      <c r="D215" s="218"/>
      <c r="E215" s="222"/>
      <c r="F215" s="222"/>
      <c r="G215" s="222"/>
      <c r="H215" s="222"/>
      <c r="I215" s="218"/>
      <c r="J215" s="182"/>
    </row>
    <row r="216" spans="1:10" ht="13.5">
      <c r="A216" s="222"/>
      <c r="B216" s="222"/>
      <c r="C216" s="222"/>
      <c r="D216" s="218"/>
      <c r="E216" s="222"/>
      <c r="F216" s="222"/>
      <c r="G216" s="222"/>
      <c r="H216" s="222"/>
      <c r="I216" s="218"/>
      <c r="J216" s="182"/>
    </row>
    <row r="217" spans="1:10" ht="13.5">
      <c r="A217" s="222"/>
      <c r="B217" s="222"/>
      <c r="C217" s="222"/>
      <c r="D217" s="218"/>
      <c r="E217" s="222"/>
      <c r="F217" s="222"/>
      <c r="G217" s="222"/>
      <c r="H217" s="222"/>
      <c r="I217" s="218"/>
      <c r="J217" s="182"/>
    </row>
    <row r="218" spans="1:10" ht="13.5">
      <c r="A218" s="222"/>
      <c r="B218" s="222"/>
      <c r="C218" s="222"/>
      <c r="D218" s="218"/>
      <c r="E218" s="222"/>
      <c r="F218" s="222"/>
      <c r="G218" s="222"/>
      <c r="H218" s="222"/>
      <c r="I218" s="218"/>
      <c r="J218" s="182"/>
    </row>
    <row r="219" spans="1:10" ht="13.5">
      <c r="A219" s="222"/>
      <c r="B219" s="222"/>
      <c r="C219" s="222"/>
      <c r="D219" s="218"/>
      <c r="E219" s="222"/>
      <c r="F219" s="222"/>
      <c r="G219" s="222"/>
      <c r="H219" s="222"/>
      <c r="I219" s="218"/>
      <c r="J219" s="182"/>
    </row>
    <row r="220" spans="1:10" ht="13.5">
      <c r="A220" s="222"/>
      <c r="B220" s="222"/>
      <c r="C220" s="222"/>
      <c r="D220" s="218"/>
      <c r="E220" s="222"/>
      <c r="F220" s="222"/>
      <c r="G220" s="222"/>
      <c r="H220" s="222"/>
      <c r="I220" s="218"/>
      <c r="J220" s="182"/>
    </row>
    <row r="221" spans="1:10" ht="13.5">
      <c r="A221" s="222"/>
      <c r="B221" s="222"/>
      <c r="C221" s="222"/>
      <c r="D221" s="218"/>
      <c r="E221" s="222"/>
      <c r="F221" s="222"/>
      <c r="G221" s="222"/>
      <c r="H221" s="222"/>
      <c r="I221" s="218"/>
      <c r="J221" s="182"/>
    </row>
    <row r="222" spans="1:10" ht="13.5">
      <c r="A222" s="182"/>
      <c r="B222" s="182"/>
      <c r="C222" s="182"/>
      <c r="D222" s="182"/>
      <c r="E222" s="182"/>
      <c r="F222" s="182"/>
      <c r="G222" s="182"/>
      <c r="H222" s="182"/>
      <c r="I222" s="182"/>
      <c r="J222" s="182"/>
    </row>
    <row r="223" spans="2:10" ht="13.5">
      <c r="B223" s="182"/>
      <c r="C223" s="182"/>
      <c r="D223" s="182"/>
      <c r="E223" s="182"/>
      <c r="F223" s="182"/>
      <c r="G223" s="182"/>
      <c r="H223" s="182"/>
      <c r="I223" s="182"/>
      <c r="J223" s="182"/>
    </row>
    <row r="224" spans="3:9" ht="13.5">
      <c r="C224" s="182"/>
      <c r="D224" s="182"/>
      <c r="E224" s="182"/>
      <c r="F224" s="182"/>
      <c r="G224" s="182"/>
      <c r="H224" s="182"/>
      <c r="I224" s="182"/>
    </row>
    <row r="225" spans="3:9" ht="13.5">
      <c r="C225" s="182"/>
      <c r="D225" s="182"/>
      <c r="E225" s="182"/>
      <c r="F225" s="182"/>
      <c r="G225" s="182"/>
      <c r="H225" s="182"/>
      <c r="I225" s="182"/>
    </row>
    <row r="226" spans="3:9" ht="13.5">
      <c r="C226" s="182"/>
      <c r="D226" s="182"/>
      <c r="E226" s="182"/>
      <c r="F226" s="182"/>
      <c r="G226" s="182"/>
      <c r="H226" s="230"/>
      <c r="I226" s="182"/>
    </row>
    <row r="227" spans="3:9" ht="13.5">
      <c r="C227" s="182"/>
      <c r="D227" s="235"/>
      <c r="E227" s="235"/>
      <c r="F227" s="235"/>
      <c r="G227" s="235"/>
      <c r="H227" s="230"/>
      <c r="I227" s="182"/>
    </row>
    <row r="228" spans="3:9" ht="13.5">
      <c r="C228" s="182"/>
      <c r="D228" s="182"/>
      <c r="E228" s="182"/>
      <c r="F228" s="182"/>
      <c r="G228" s="182"/>
      <c r="H228" s="182"/>
      <c r="I228" s="182"/>
    </row>
    <row r="229" spans="3:9" ht="13.5">
      <c r="C229" s="182"/>
      <c r="D229" s="182"/>
      <c r="E229" s="182"/>
      <c r="F229" s="182"/>
      <c r="G229" s="182"/>
      <c r="H229" s="182"/>
      <c r="I229" s="182"/>
    </row>
    <row r="230" spans="3:9" ht="13.5">
      <c r="C230" s="182"/>
      <c r="D230" s="182"/>
      <c r="E230" s="182"/>
      <c r="F230" s="182"/>
      <c r="G230" s="182"/>
      <c r="H230" s="182"/>
      <c r="I230" s="182"/>
    </row>
  </sheetData>
  <sheetProtection password="CD1C" sheet="1" objects="1" scenarios="1" selectLockedCells="1"/>
  <mergeCells count="11">
    <mergeCell ref="C1:H2"/>
    <mergeCell ref="I69:J69"/>
    <mergeCell ref="I70:J70"/>
    <mergeCell ref="I71:J71"/>
    <mergeCell ref="C66:D66"/>
    <mergeCell ref="I67:J67"/>
    <mergeCell ref="I68:J68"/>
    <mergeCell ref="C92:D93"/>
    <mergeCell ref="I74:J74"/>
    <mergeCell ref="I72:J72"/>
    <mergeCell ref="I73:J73"/>
  </mergeCells>
  <conditionalFormatting sqref="A115">
    <cfRule type="cellIs" priority="1" dxfId="0" operator="between" stopIfTrue="1">
      <formula>0</formula>
      <formula>2</formula>
    </cfRule>
  </conditionalFormatting>
  <printOptions/>
  <pageMargins left="0.7480314960629921" right="0.7480314960629921" top="0.7874015748031497" bottom="0.86" header="0" footer="0"/>
  <pageSetup horizontalDpi="300" verticalDpi="300" orientation="portrait" paperSize="9" r:id="rId7"/>
  <drawing r:id="rId6"/>
  <legacyDrawing r:id="rId5"/>
  <oleObjects>
    <oleObject progId="hunmin.doc" shapeId="1076352" r:id="rId2"/>
    <oleObject progId="Visio.Drawing.6" shapeId="594064" r:id="rId3"/>
    <oleObject progId="Visio.Drawing.6" shapeId="115012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85" zoomScaleNormal="85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19" sqref="A19"/>
      <selection pane="bottomRight" activeCell="B55" sqref="B55"/>
    </sheetView>
  </sheetViews>
  <sheetFormatPr defaultColWidth="8.88671875" defaultRowHeight="13.5"/>
  <cols>
    <col min="1" max="1" width="13.77734375" style="171" customWidth="1"/>
    <col min="2" max="2" width="13.77734375" style="170" customWidth="1"/>
    <col min="3" max="4" width="6.77734375" style="172" customWidth="1"/>
    <col min="5" max="7" width="8.88671875" style="172" customWidth="1"/>
    <col min="8" max="8" width="6.77734375" style="172" customWidth="1"/>
    <col min="9" max="13" width="7.77734375" style="172" customWidth="1"/>
    <col min="14" max="14" width="9.4453125" style="173" customWidth="1"/>
    <col min="15" max="15" width="9.4453125" style="173" bestFit="1" customWidth="1"/>
    <col min="16" max="16" width="12.99609375" style="172" bestFit="1" customWidth="1"/>
    <col min="17" max="17" width="13.88671875" style="172" customWidth="1"/>
    <col min="18" max="18" width="24.4453125" style="172" bestFit="1" customWidth="1"/>
    <col min="19" max="19" width="10.6640625" style="172" customWidth="1"/>
    <col min="20" max="20" width="10.21484375" style="172" customWidth="1"/>
    <col min="21" max="16384" width="8.88671875" style="172" customWidth="1"/>
  </cols>
  <sheetData>
    <row r="1" spans="1:20" s="9" customFormat="1" ht="13.5" customHeight="1">
      <c r="A1" s="268" t="s">
        <v>187</v>
      </c>
      <c r="B1" s="278" t="s">
        <v>188</v>
      </c>
      <c r="C1" s="271" t="s">
        <v>189</v>
      </c>
      <c r="D1" s="272"/>
      <c r="E1" s="272"/>
      <c r="F1" s="272"/>
      <c r="G1" s="272"/>
      <c r="H1" s="273"/>
      <c r="I1" s="271" t="s">
        <v>190</v>
      </c>
      <c r="J1" s="272"/>
      <c r="K1" s="272"/>
      <c r="L1" s="273"/>
      <c r="M1" s="281" t="s">
        <v>191</v>
      </c>
      <c r="N1" s="268" t="s">
        <v>192</v>
      </c>
      <c r="O1" s="274" t="s">
        <v>193</v>
      </c>
      <c r="P1" s="273" t="s">
        <v>194</v>
      </c>
      <c r="Q1" s="274" t="s">
        <v>195</v>
      </c>
      <c r="R1" s="273" t="s">
        <v>196</v>
      </c>
      <c r="S1" s="255"/>
      <c r="T1" s="255"/>
    </row>
    <row r="2" spans="1:20" s="9" customFormat="1" ht="24.75" customHeight="1">
      <c r="A2" s="269"/>
      <c r="B2" s="279"/>
      <c r="C2" s="276" t="s">
        <v>197</v>
      </c>
      <c r="D2" s="276" t="s">
        <v>198</v>
      </c>
      <c r="E2" s="276" t="s">
        <v>199</v>
      </c>
      <c r="F2" s="274"/>
      <c r="G2" s="274" t="s">
        <v>152</v>
      </c>
      <c r="H2" s="274" t="s">
        <v>200</v>
      </c>
      <c r="I2" s="284" t="s">
        <v>201</v>
      </c>
      <c r="J2" s="284" t="s">
        <v>202</v>
      </c>
      <c r="K2" s="284" t="s">
        <v>203</v>
      </c>
      <c r="L2" s="284" t="s">
        <v>204</v>
      </c>
      <c r="M2" s="282"/>
      <c r="N2" s="269"/>
      <c r="O2" s="259"/>
      <c r="P2" s="257"/>
      <c r="Q2" s="257"/>
      <c r="R2" s="257"/>
      <c r="S2" s="256"/>
      <c r="T2" s="256"/>
    </row>
    <row r="3" spans="1:20" s="9" customFormat="1" ht="13.5" customHeight="1">
      <c r="A3" s="270"/>
      <c r="B3" s="280"/>
      <c r="C3" s="277"/>
      <c r="D3" s="277"/>
      <c r="E3" s="10" t="s">
        <v>205</v>
      </c>
      <c r="F3" s="10" t="s">
        <v>206</v>
      </c>
      <c r="G3" s="275"/>
      <c r="H3" s="275"/>
      <c r="I3" s="254"/>
      <c r="J3" s="254"/>
      <c r="K3" s="254"/>
      <c r="L3" s="254"/>
      <c r="M3" s="283"/>
      <c r="N3" s="270"/>
      <c r="O3" s="275"/>
      <c r="P3" s="258"/>
      <c r="Q3" s="258"/>
      <c r="R3" s="258"/>
      <c r="S3" s="256"/>
      <c r="T3" s="256"/>
    </row>
    <row r="4" spans="1:18" s="15" customFormat="1" ht="15">
      <c r="A4" s="11" t="s">
        <v>207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  <c r="O4" s="11"/>
      <c r="P4" s="11"/>
      <c r="Q4" s="13"/>
      <c r="R4" s="14"/>
    </row>
    <row r="5" spans="1:18" s="24" customFormat="1" ht="12.75">
      <c r="A5" s="16" t="s">
        <v>208</v>
      </c>
      <c r="B5" s="17" t="s">
        <v>209</v>
      </c>
      <c r="C5" s="18">
        <v>800</v>
      </c>
      <c r="D5" s="19">
        <v>1.2</v>
      </c>
      <c r="E5" s="18">
        <v>25</v>
      </c>
      <c r="F5" s="19">
        <v>30</v>
      </c>
      <c r="G5" s="18">
        <v>67</v>
      </c>
      <c r="H5" s="20">
        <v>7</v>
      </c>
      <c r="I5" s="18" t="s">
        <v>153</v>
      </c>
      <c r="J5" s="18" t="s">
        <v>154</v>
      </c>
      <c r="K5" s="18" t="s">
        <v>153</v>
      </c>
      <c r="L5" s="18" t="s">
        <v>153</v>
      </c>
      <c r="M5" s="18" t="s">
        <v>154</v>
      </c>
      <c r="N5" s="18" t="s">
        <v>210</v>
      </c>
      <c r="O5" s="21" t="s">
        <v>211</v>
      </c>
      <c r="P5" s="22" t="s">
        <v>212</v>
      </c>
      <c r="Q5" s="263" t="s">
        <v>213</v>
      </c>
      <c r="R5" s="23"/>
    </row>
    <row r="6" spans="1:18" s="24" customFormat="1" ht="12.75" customHeight="1">
      <c r="A6" s="16" t="s">
        <v>214</v>
      </c>
      <c r="B6" s="17" t="s">
        <v>215</v>
      </c>
      <c r="C6" s="18">
        <v>800</v>
      </c>
      <c r="D6" s="18">
        <v>2.15</v>
      </c>
      <c r="E6" s="18">
        <v>40</v>
      </c>
      <c r="F6" s="18">
        <v>50</v>
      </c>
      <c r="G6" s="18" t="s">
        <v>216</v>
      </c>
      <c r="H6" s="20">
        <v>5</v>
      </c>
      <c r="I6" s="18" t="s">
        <v>153</v>
      </c>
      <c r="J6" s="18" t="s">
        <v>154</v>
      </c>
      <c r="K6" s="18" t="s">
        <v>153</v>
      </c>
      <c r="L6" s="18" t="s">
        <v>153</v>
      </c>
      <c r="M6" s="18" t="s">
        <v>154</v>
      </c>
      <c r="N6" s="18" t="s">
        <v>210</v>
      </c>
      <c r="O6" s="25" t="s">
        <v>217</v>
      </c>
      <c r="P6" s="26" t="s">
        <v>218</v>
      </c>
      <c r="Q6" s="264"/>
      <c r="R6" s="28"/>
    </row>
    <row r="7" spans="1:18" s="24" customFormat="1" ht="12.75">
      <c r="A7" s="16" t="s">
        <v>219</v>
      </c>
      <c r="B7" s="17" t="s">
        <v>220</v>
      </c>
      <c r="C7" s="18">
        <v>800</v>
      </c>
      <c r="D7" s="20">
        <v>4</v>
      </c>
      <c r="E7" s="18">
        <v>80</v>
      </c>
      <c r="F7" s="18">
        <v>100</v>
      </c>
      <c r="G7" s="18" t="s">
        <v>221</v>
      </c>
      <c r="H7" s="20">
        <v>2</v>
      </c>
      <c r="I7" s="18" t="s">
        <v>155</v>
      </c>
      <c r="J7" s="18" t="s">
        <v>154</v>
      </c>
      <c r="K7" s="18" t="s">
        <v>155</v>
      </c>
      <c r="L7" s="18" t="s">
        <v>155</v>
      </c>
      <c r="M7" s="18" t="s">
        <v>156</v>
      </c>
      <c r="N7" s="18" t="s">
        <v>222</v>
      </c>
      <c r="O7" s="327" t="s">
        <v>223</v>
      </c>
      <c r="P7" s="262" t="s">
        <v>224</v>
      </c>
      <c r="Q7" s="320" t="s">
        <v>225</v>
      </c>
      <c r="R7" s="28"/>
    </row>
    <row r="8" spans="1:18" s="24" customFormat="1" ht="12.75">
      <c r="A8" s="30" t="s">
        <v>226</v>
      </c>
      <c r="B8" s="31" t="s">
        <v>220</v>
      </c>
      <c r="C8" s="32">
        <v>800</v>
      </c>
      <c r="D8" s="33">
        <v>4</v>
      </c>
      <c r="E8" s="32">
        <v>80</v>
      </c>
      <c r="F8" s="32">
        <v>100</v>
      </c>
      <c r="G8" s="32">
        <v>100</v>
      </c>
      <c r="H8" s="33">
        <v>2</v>
      </c>
      <c r="I8" s="32" t="s">
        <v>153</v>
      </c>
      <c r="J8" s="32" t="s">
        <v>154</v>
      </c>
      <c r="K8" s="32" t="s">
        <v>153</v>
      </c>
      <c r="L8" s="32" t="s">
        <v>153</v>
      </c>
      <c r="M8" s="32" t="s">
        <v>156</v>
      </c>
      <c r="N8" s="32" t="s">
        <v>159</v>
      </c>
      <c r="O8" s="327"/>
      <c r="P8" s="262"/>
      <c r="Q8" s="320"/>
      <c r="R8" s="28"/>
    </row>
    <row r="9" spans="1:18" s="24" customFormat="1" ht="12.75">
      <c r="A9" s="34" t="s">
        <v>227</v>
      </c>
      <c r="B9" s="35" t="s">
        <v>220</v>
      </c>
      <c r="C9" s="36">
        <v>800</v>
      </c>
      <c r="D9" s="37">
        <v>4</v>
      </c>
      <c r="E9" s="36">
        <v>80</v>
      </c>
      <c r="F9" s="36">
        <v>100</v>
      </c>
      <c r="G9" s="36">
        <v>67</v>
      </c>
      <c r="H9" s="37">
        <v>2</v>
      </c>
      <c r="I9" s="36" t="s">
        <v>153</v>
      </c>
      <c r="J9" s="36" t="s">
        <v>154</v>
      </c>
      <c r="K9" s="36" t="s">
        <v>153</v>
      </c>
      <c r="L9" s="36" t="s">
        <v>153</v>
      </c>
      <c r="M9" s="36" t="s">
        <v>156</v>
      </c>
      <c r="N9" s="36" t="s">
        <v>222</v>
      </c>
      <c r="O9" s="327"/>
      <c r="P9" s="262"/>
      <c r="Q9" s="320"/>
      <c r="R9" s="28"/>
    </row>
    <row r="10" spans="1:18" s="24" customFormat="1" ht="12.75">
      <c r="A10" s="16" t="s">
        <v>228</v>
      </c>
      <c r="B10" s="17" t="s">
        <v>229</v>
      </c>
      <c r="C10" s="18">
        <v>800</v>
      </c>
      <c r="D10" s="20">
        <v>5</v>
      </c>
      <c r="E10" s="18">
        <v>110</v>
      </c>
      <c r="F10" s="18">
        <v>130</v>
      </c>
      <c r="G10" s="18">
        <v>67</v>
      </c>
      <c r="H10" s="18">
        <v>1.5</v>
      </c>
      <c r="I10" s="18" t="s">
        <v>155</v>
      </c>
      <c r="J10" s="18" t="s">
        <v>154</v>
      </c>
      <c r="K10" s="18" t="s">
        <v>155</v>
      </c>
      <c r="L10" s="18" t="s">
        <v>155</v>
      </c>
      <c r="M10" s="18" t="s">
        <v>156</v>
      </c>
      <c r="N10" s="18" t="s">
        <v>230</v>
      </c>
      <c r="O10" s="327" t="s">
        <v>223</v>
      </c>
      <c r="P10" s="262" t="s">
        <v>224</v>
      </c>
      <c r="Q10" s="320"/>
      <c r="R10" s="38"/>
    </row>
    <row r="11" spans="1:18" s="24" customFormat="1" ht="12.75">
      <c r="A11" s="30" t="s">
        <v>231</v>
      </c>
      <c r="B11" s="31" t="s">
        <v>229</v>
      </c>
      <c r="C11" s="32">
        <v>800</v>
      </c>
      <c r="D11" s="33">
        <v>5</v>
      </c>
      <c r="E11" s="32">
        <v>110</v>
      </c>
      <c r="F11" s="32">
        <v>130</v>
      </c>
      <c r="G11" s="32">
        <v>67</v>
      </c>
      <c r="H11" s="32">
        <v>1.5</v>
      </c>
      <c r="I11" s="32" t="s">
        <v>155</v>
      </c>
      <c r="J11" s="32" t="s">
        <v>154</v>
      </c>
      <c r="K11" s="32" t="s">
        <v>155</v>
      </c>
      <c r="L11" s="32" t="s">
        <v>155</v>
      </c>
      <c r="M11" s="32" t="s">
        <v>156</v>
      </c>
      <c r="N11" s="32" t="s">
        <v>157</v>
      </c>
      <c r="O11" s="327"/>
      <c r="P11" s="262"/>
      <c r="Q11" s="320"/>
      <c r="R11" s="39" t="s">
        <v>232</v>
      </c>
    </row>
    <row r="12" spans="1:18" s="24" customFormat="1" ht="12.75" customHeight="1">
      <c r="A12" s="16" t="s">
        <v>233</v>
      </c>
      <c r="B12" s="17" t="s">
        <v>234</v>
      </c>
      <c r="C12" s="18">
        <v>800</v>
      </c>
      <c r="D12" s="20">
        <v>4</v>
      </c>
      <c r="E12" s="18">
        <v>80</v>
      </c>
      <c r="F12" s="18">
        <v>100</v>
      </c>
      <c r="G12" s="18" t="s">
        <v>235</v>
      </c>
      <c r="H12" s="20">
        <v>2</v>
      </c>
      <c r="I12" s="18" t="s">
        <v>155</v>
      </c>
      <c r="J12" s="18" t="s">
        <v>154</v>
      </c>
      <c r="K12" s="18" t="s">
        <v>155</v>
      </c>
      <c r="L12" s="18" t="s">
        <v>155</v>
      </c>
      <c r="M12" s="18" t="s">
        <v>156</v>
      </c>
      <c r="N12" s="18" t="s">
        <v>222</v>
      </c>
      <c r="O12" s="40" t="s">
        <v>236</v>
      </c>
      <c r="P12" s="29" t="s">
        <v>237</v>
      </c>
      <c r="Q12" s="26" t="s">
        <v>238</v>
      </c>
      <c r="R12" s="28"/>
    </row>
    <row r="13" spans="1:18" s="24" customFormat="1" ht="12.75">
      <c r="A13" s="16" t="s">
        <v>239</v>
      </c>
      <c r="B13" s="17" t="s">
        <v>240</v>
      </c>
      <c r="C13" s="18">
        <v>800</v>
      </c>
      <c r="D13" s="20">
        <v>4</v>
      </c>
      <c r="E13" s="18">
        <v>80</v>
      </c>
      <c r="F13" s="18">
        <v>100</v>
      </c>
      <c r="G13" s="18" t="s">
        <v>235</v>
      </c>
      <c r="H13" s="20">
        <v>2</v>
      </c>
      <c r="I13" s="18" t="s">
        <v>153</v>
      </c>
      <c r="J13" s="18" t="s">
        <v>154</v>
      </c>
      <c r="K13" s="18" t="s">
        <v>153</v>
      </c>
      <c r="L13" s="18" t="s">
        <v>153</v>
      </c>
      <c r="M13" s="18" t="s">
        <v>156</v>
      </c>
      <c r="N13" s="18" t="s">
        <v>241</v>
      </c>
      <c r="O13" s="260" t="s">
        <v>242</v>
      </c>
      <c r="P13" s="262" t="s">
        <v>243</v>
      </c>
      <c r="Q13" s="320" t="s">
        <v>244</v>
      </c>
      <c r="R13" s="28"/>
    </row>
    <row r="14" spans="1:18" s="24" customFormat="1" ht="12.75">
      <c r="A14" s="34" t="s">
        <v>245</v>
      </c>
      <c r="B14" s="35" t="s">
        <v>246</v>
      </c>
      <c r="C14" s="36">
        <v>800</v>
      </c>
      <c r="D14" s="37">
        <v>5</v>
      </c>
      <c r="E14" s="36">
        <v>110</v>
      </c>
      <c r="F14" s="36">
        <v>130</v>
      </c>
      <c r="G14" s="36" t="s">
        <v>235</v>
      </c>
      <c r="H14" s="36">
        <v>1.5</v>
      </c>
      <c r="I14" s="36" t="s">
        <v>153</v>
      </c>
      <c r="J14" s="36" t="s">
        <v>154</v>
      </c>
      <c r="K14" s="36" t="s">
        <v>153</v>
      </c>
      <c r="L14" s="36" t="s">
        <v>153</v>
      </c>
      <c r="M14" s="36" t="s">
        <v>156</v>
      </c>
      <c r="N14" s="36" t="s">
        <v>241</v>
      </c>
      <c r="O14" s="261"/>
      <c r="P14" s="262"/>
      <c r="Q14" s="320"/>
      <c r="R14" s="42"/>
    </row>
    <row r="15" spans="1:18" s="15" customFormat="1" ht="15">
      <c r="A15" s="309" t="s">
        <v>247</v>
      </c>
      <c r="B15" s="310"/>
      <c r="C15" s="310"/>
      <c r="D15" s="311"/>
      <c r="E15" s="43"/>
      <c r="F15" s="43"/>
      <c r="G15" s="43"/>
      <c r="H15" s="43"/>
      <c r="I15" s="44"/>
      <c r="J15" s="44"/>
      <c r="K15" s="44"/>
      <c r="L15" s="44"/>
      <c r="M15" s="44"/>
      <c r="N15" s="45"/>
      <c r="O15" s="14"/>
      <c r="P15" s="43"/>
      <c r="Q15" s="46"/>
      <c r="R15" s="43"/>
    </row>
    <row r="16" spans="1:18" s="24" customFormat="1" ht="12.75" customHeight="1">
      <c r="A16" s="16" t="s">
        <v>248</v>
      </c>
      <c r="B16" s="17" t="s">
        <v>249</v>
      </c>
      <c r="C16" s="18">
        <v>650</v>
      </c>
      <c r="D16" s="18">
        <v>0.6</v>
      </c>
      <c r="E16" s="18">
        <v>10</v>
      </c>
      <c r="F16" s="18">
        <v>10</v>
      </c>
      <c r="G16" s="18">
        <v>100</v>
      </c>
      <c r="H16" s="18">
        <v>10</v>
      </c>
      <c r="I16" s="18" t="s">
        <v>153</v>
      </c>
      <c r="J16" s="18" t="s">
        <v>154</v>
      </c>
      <c r="K16" s="18" t="s">
        <v>153</v>
      </c>
      <c r="L16" s="18" t="s">
        <v>153</v>
      </c>
      <c r="M16" s="18" t="s">
        <v>156</v>
      </c>
      <c r="N16" s="18" t="s">
        <v>250</v>
      </c>
      <c r="O16" s="21" t="s">
        <v>251</v>
      </c>
      <c r="P16" s="312" t="s">
        <v>252</v>
      </c>
      <c r="Q16" s="263" t="s">
        <v>253</v>
      </c>
      <c r="R16" s="47"/>
    </row>
    <row r="17" spans="1:18" s="24" customFormat="1" ht="12.75">
      <c r="A17" s="34" t="s">
        <v>254</v>
      </c>
      <c r="B17" s="35" t="s">
        <v>255</v>
      </c>
      <c r="C17" s="36">
        <v>650</v>
      </c>
      <c r="D17" s="36">
        <v>0.6</v>
      </c>
      <c r="E17" s="36">
        <v>15</v>
      </c>
      <c r="F17" s="36">
        <v>15</v>
      </c>
      <c r="G17" s="36">
        <v>100</v>
      </c>
      <c r="H17" s="36">
        <v>10</v>
      </c>
      <c r="I17" s="36" t="s">
        <v>153</v>
      </c>
      <c r="J17" s="36" t="s">
        <v>154</v>
      </c>
      <c r="K17" s="36" t="s">
        <v>153</v>
      </c>
      <c r="L17" s="36" t="s">
        <v>153</v>
      </c>
      <c r="M17" s="36" t="s">
        <v>154</v>
      </c>
      <c r="N17" s="36" t="s">
        <v>210</v>
      </c>
      <c r="O17" s="41" t="s">
        <v>256</v>
      </c>
      <c r="P17" s="313"/>
      <c r="Q17" s="322"/>
      <c r="R17" s="48"/>
    </row>
    <row r="18" spans="1:18" s="24" customFormat="1" ht="12.75">
      <c r="A18" s="30" t="s">
        <v>257</v>
      </c>
      <c r="B18" s="31" t="s">
        <v>258</v>
      </c>
      <c r="C18" s="32">
        <v>650</v>
      </c>
      <c r="D18" s="32">
        <v>1.2</v>
      </c>
      <c r="E18" s="32">
        <v>25</v>
      </c>
      <c r="F18" s="32">
        <v>30</v>
      </c>
      <c r="G18" s="32">
        <v>67</v>
      </c>
      <c r="H18" s="33">
        <v>6</v>
      </c>
      <c r="I18" s="32" t="s">
        <v>153</v>
      </c>
      <c r="J18" s="32" t="s">
        <v>154</v>
      </c>
      <c r="K18" s="32" t="s">
        <v>153</v>
      </c>
      <c r="L18" s="32" t="s">
        <v>153</v>
      </c>
      <c r="M18" s="32" t="s">
        <v>154</v>
      </c>
      <c r="N18" s="32" t="s">
        <v>210</v>
      </c>
      <c r="O18" s="40" t="s">
        <v>211</v>
      </c>
      <c r="P18" s="27" t="s">
        <v>259</v>
      </c>
      <c r="Q18" s="306" t="s">
        <v>213</v>
      </c>
      <c r="R18" s="48"/>
    </row>
    <row r="19" spans="1:18" s="24" customFormat="1" ht="12.75">
      <c r="A19" s="49" t="s">
        <v>260</v>
      </c>
      <c r="B19" s="50" t="s">
        <v>261</v>
      </c>
      <c r="C19" s="29">
        <v>650</v>
      </c>
      <c r="D19" s="29">
        <v>2.15</v>
      </c>
      <c r="E19" s="29">
        <v>40</v>
      </c>
      <c r="F19" s="29">
        <v>50</v>
      </c>
      <c r="G19" s="29">
        <v>67</v>
      </c>
      <c r="H19" s="29">
        <v>4.5</v>
      </c>
      <c r="I19" s="29" t="s">
        <v>153</v>
      </c>
      <c r="J19" s="29" t="s">
        <v>154</v>
      </c>
      <c r="K19" s="29" t="s">
        <v>153</v>
      </c>
      <c r="L19" s="29" t="s">
        <v>153</v>
      </c>
      <c r="M19" s="29" t="s">
        <v>154</v>
      </c>
      <c r="N19" s="29" t="s">
        <v>210</v>
      </c>
      <c r="O19" s="25" t="s">
        <v>217</v>
      </c>
      <c r="P19" s="26" t="s">
        <v>262</v>
      </c>
      <c r="Q19" s="306"/>
      <c r="R19" s="48"/>
    </row>
    <row r="20" spans="1:18" s="24" customFormat="1" ht="12.75">
      <c r="A20" s="16" t="s">
        <v>263</v>
      </c>
      <c r="B20" s="31" t="s">
        <v>264</v>
      </c>
      <c r="C20" s="32">
        <v>650</v>
      </c>
      <c r="D20" s="32">
        <v>3.5</v>
      </c>
      <c r="E20" s="32">
        <v>50</v>
      </c>
      <c r="F20" s="32">
        <v>60</v>
      </c>
      <c r="G20" s="32" t="s">
        <v>221</v>
      </c>
      <c r="H20" s="32">
        <v>2.2</v>
      </c>
      <c r="I20" s="32" t="s">
        <v>153</v>
      </c>
      <c r="J20" s="32" t="s">
        <v>154</v>
      </c>
      <c r="K20" s="32" t="s">
        <v>153</v>
      </c>
      <c r="L20" s="32" t="s">
        <v>153</v>
      </c>
      <c r="M20" s="32" t="s">
        <v>154</v>
      </c>
      <c r="N20" s="32" t="s">
        <v>210</v>
      </c>
      <c r="O20" s="40" t="s">
        <v>265</v>
      </c>
      <c r="P20" s="27" t="s">
        <v>266</v>
      </c>
      <c r="Q20" s="306"/>
      <c r="R20" s="48"/>
    </row>
    <row r="21" spans="1:18" s="24" customFormat="1" ht="12.75">
      <c r="A21" s="16" t="s">
        <v>267</v>
      </c>
      <c r="B21" s="17" t="s">
        <v>268</v>
      </c>
      <c r="C21" s="18">
        <v>650</v>
      </c>
      <c r="D21" s="20">
        <v>5</v>
      </c>
      <c r="E21" s="18">
        <v>100</v>
      </c>
      <c r="F21" s="18">
        <v>120</v>
      </c>
      <c r="G21" s="18">
        <v>67</v>
      </c>
      <c r="H21" s="18">
        <v>1.6</v>
      </c>
      <c r="I21" s="18" t="s">
        <v>153</v>
      </c>
      <c r="J21" s="18" t="s">
        <v>154</v>
      </c>
      <c r="K21" s="18" t="s">
        <v>153</v>
      </c>
      <c r="L21" s="18" t="s">
        <v>153</v>
      </c>
      <c r="M21" s="18" t="s">
        <v>156</v>
      </c>
      <c r="N21" s="18" t="s">
        <v>222</v>
      </c>
      <c r="O21" s="312" t="s">
        <v>223</v>
      </c>
      <c r="P21" s="312" t="s">
        <v>269</v>
      </c>
      <c r="Q21" s="312" t="s">
        <v>270</v>
      </c>
      <c r="R21" s="48"/>
    </row>
    <row r="22" spans="1:18" s="24" customFormat="1" ht="13.5" customHeight="1">
      <c r="A22" s="34" t="s">
        <v>271</v>
      </c>
      <c r="B22" s="35" t="s">
        <v>272</v>
      </c>
      <c r="C22" s="36">
        <v>650</v>
      </c>
      <c r="D22" s="37">
        <v>6</v>
      </c>
      <c r="E22" s="36">
        <v>120</v>
      </c>
      <c r="F22" s="36">
        <v>145</v>
      </c>
      <c r="G22" s="36">
        <v>67</v>
      </c>
      <c r="H22" s="36">
        <v>1.2</v>
      </c>
      <c r="I22" s="36" t="s">
        <v>153</v>
      </c>
      <c r="J22" s="36" t="s">
        <v>154</v>
      </c>
      <c r="K22" s="36" t="s">
        <v>153</v>
      </c>
      <c r="L22" s="36" t="s">
        <v>153</v>
      </c>
      <c r="M22" s="36" t="s">
        <v>156</v>
      </c>
      <c r="N22" s="36" t="s">
        <v>222</v>
      </c>
      <c r="O22" s="313"/>
      <c r="P22" s="313"/>
      <c r="Q22" s="313"/>
      <c r="R22" s="48"/>
    </row>
    <row r="23" spans="1:18" s="15" customFormat="1" ht="15">
      <c r="A23" s="302" t="s">
        <v>273</v>
      </c>
      <c r="B23" s="302"/>
      <c r="C23" s="302"/>
      <c r="D23" s="302"/>
      <c r="E23" s="51"/>
      <c r="F23" s="51"/>
      <c r="G23" s="51"/>
      <c r="H23" s="51"/>
      <c r="I23" s="52"/>
      <c r="J23" s="52"/>
      <c r="K23" s="52"/>
      <c r="L23" s="52"/>
      <c r="M23" s="52"/>
      <c r="N23" s="53"/>
      <c r="O23" s="54"/>
      <c r="P23" s="51"/>
      <c r="Q23" s="55"/>
      <c r="R23" s="43"/>
    </row>
    <row r="24" spans="1:19" s="9" customFormat="1" ht="13.5">
      <c r="A24" s="56" t="s">
        <v>209</v>
      </c>
      <c r="B24" s="57"/>
      <c r="C24" s="58">
        <v>800</v>
      </c>
      <c r="D24" s="58">
        <v>1.2</v>
      </c>
      <c r="E24" s="58">
        <v>25</v>
      </c>
      <c r="F24" s="58">
        <v>30</v>
      </c>
      <c r="G24" s="58" t="s">
        <v>221</v>
      </c>
      <c r="H24" s="59">
        <v>7</v>
      </c>
      <c r="I24" s="58" t="s">
        <v>153</v>
      </c>
      <c r="J24" s="58" t="s">
        <v>274</v>
      </c>
      <c r="K24" s="58" t="s">
        <v>153</v>
      </c>
      <c r="L24" s="58" t="s">
        <v>153</v>
      </c>
      <c r="M24" s="58" t="s">
        <v>154</v>
      </c>
      <c r="N24" s="58" t="s">
        <v>210</v>
      </c>
      <c r="O24" s="60" t="s">
        <v>211</v>
      </c>
      <c r="P24" s="61" t="s">
        <v>212</v>
      </c>
      <c r="Q24" s="305" t="s">
        <v>213</v>
      </c>
      <c r="R24" s="62"/>
      <c r="S24" s="63"/>
    </row>
    <row r="25" spans="1:18" s="9" customFormat="1" ht="12.75">
      <c r="A25" s="56" t="s">
        <v>215</v>
      </c>
      <c r="B25" s="57"/>
      <c r="C25" s="58">
        <v>800</v>
      </c>
      <c r="D25" s="58">
        <v>2.15</v>
      </c>
      <c r="E25" s="58">
        <v>40</v>
      </c>
      <c r="F25" s="58">
        <v>50</v>
      </c>
      <c r="G25" s="58" t="s">
        <v>275</v>
      </c>
      <c r="H25" s="59">
        <v>5</v>
      </c>
      <c r="I25" s="58" t="s">
        <v>153</v>
      </c>
      <c r="J25" s="58" t="s">
        <v>274</v>
      </c>
      <c r="K25" s="58" t="s">
        <v>153</v>
      </c>
      <c r="L25" s="58" t="s">
        <v>153</v>
      </c>
      <c r="M25" s="58" t="s">
        <v>154</v>
      </c>
      <c r="N25" s="58" t="s">
        <v>210</v>
      </c>
      <c r="O25" s="60" t="s">
        <v>217</v>
      </c>
      <c r="P25" s="61" t="s">
        <v>262</v>
      </c>
      <c r="Q25" s="306"/>
      <c r="R25" s="64"/>
    </row>
    <row r="26" spans="1:18" s="9" customFormat="1" ht="12.75">
      <c r="A26" s="65" t="s">
        <v>276</v>
      </c>
      <c r="B26" s="66"/>
      <c r="C26" s="67">
        <v>800</v>
      </c>
      <c r="D26" s="68">
        <v>4</v>
      </c>
      <c r="E26" s="67">
        <v>80</v>
      </c>
      <c r="F26" s="67">
        <v>100</v>
      </c>
      <c r="G26" s="67" t="s">
        <v>235</v>
      </c>
      <c r="H26" s="68">
        <v>2</v>
      </c>
      <c r="I26" s="67" t="s">
        <v>153</v>
      </c>
      <c r="J26" s="67" t="s">
        <v>155</v>
      </c>
      <c r="K26" s="67" t="s">
        <v>153</v>
      </c>
      <c r="L26" s="67" t="s">
        <v>155</v>
      </c>
      <c r="M26" s="67" t="s">
        <v>156</v>
      </c>
      <c r="N26" s="67" t="s">
        <v>277</v>
      </c>
      <c r="O26" s="69" t="s">
        <v>223</v>
      </c>
      <c r="P26" s="67" t="s">
        <v>278</v>
      </c>
      <c r="Q26" s="70" t="s">
        <v>279</v>
      </c>
      <c r="R26" s="71" t="s">
        <v>280</v>
      </c>
    </row>
    <row r="27" spans="1:18" s="15" customFormat="1" ht="15">
      <c r="A27" s="302" t="s">
        <v>281</v>
      </c>
      <c r="B27" s="302"/>
      <c r="C27" s="302"/>
      <c r="D27" s="302"/>
      <c r="E27" s="51"/>
      <c r="F27" s="51"/>
      <c r="G27" s="51"/>
      <c r="H27" s="51"/>
      <c r="I27" s="52"/>
      <c r="J27" s="52"/>
      <c r="K27" s="52"/>
      <c r="L27" s="52"/>
      <c r="M27" s="52"/>
      <c r="N27" s="53"/>
      <c r="O27" s="54"/>
      <c r="P27" s="51"/>
      <c r="Q27" s="55"/>
      <c r="R27" s="43"/>
    </row>
    <row r="28" spans="1:18" s="9" customFormat="1" ht="12.75">
      <c r="A28" s="56" t="s">
        <v>255</v>
      </c>
      <c r="B28" s="57"/>
      <c r="C28" s="58">
        <v>650</v>
      </c>
      <c r="D28" s="58">
        <v>0.6</v>
      </c>
      <c r="E28" s="58">
        <v>15</v>
      </c>
      <c r="F28" s="58">
        <v>15</v>
      </c>
      <c r="G28" s="58" t="s">
        <v>275</v>
      </c>
      <c r="H28" s="58">
        <v>10</v>
      </c>
      <c r="I28" s="58" t="s">
        <v>153</v>
      </c>
      <c r="J28" s="58" t="s">
        <v>274</v>
      </c>
      <c r="K28" s="58" t="s">
        <v>153</v>
      </c>
      <c r="L28" s="58" t="s">
        <v>153</v>
      </c>
      <c r="M28" s="58" t="s">
        <v>154</v>
      </c>
      <c r="N28" s="58" t="s">
        <v>210</v>
      </c>
      <c r="O28" s="305" t="s">
        <v>282</v>
      </c>
      <c r="P28" s="305" t="s">
        <v>283</v>
      </c>
      <c r="Q28" s="305" t="s">
        <v>253</v>
      </c>
      <c r="R28" s="72"/>
    </row>
    <row r="29" spans="1:18" s="9" customFormat="1" ht="12.75">
      <c r="A29" s="73" t="s">
        <v>249</v>
      </c>
      <c r="B29" s="74" t="s">
        <v>284</v>
      </c>
      <c r="C29" s="75">
        <v>650</v>
      </c>
      <c r="D29" s="75">
        <v>0.6</v>
      </c>
      <c r="E29" s="75">
        <v>10</v>
      </c>
      <c r="F29" s="75">
        <v>10</v>
      </c>
      <c r="G29" s="75" t="s">
        <v>275</v>
      </c>
      <c r="H29" s="75">
        <v>10</v>
      </c>
      <c r="I29" s="75" t="s">
        <v>153</v>
      </c>
      <c r="J29" s="75" t="s">
        <v>274</v>
      </c>
      <c r="K29" s="75" t="s">
        <v>153</v>
      </c>
      <c r="L29" s="75" t="s">
        <v>153</v>
      </c>
      <c r="M29" s="75" t="s">
        <v>154</v>
      </c>
      <c r="N29" s="75" t="s">
        <v>250</v>
      </c>
      <c r="O29" s="306"/>
      <c r="P29" s="306"/>
      <c r="Q29" s="306"/>
      <c r="R29" s="64"/>
    </row>
    <row r="30" spans="1:19" s="9" customFormat="1" ht="13.5">
      <c r="A30" s="56" t="s">
        <v>285</v>
      </c>
      <c r="B30" s="76" t="s">
        <v>286</v>
      </c>
      <c r="C30" s="58">
        <v>650</v>
      </c>
      <c r="D30" s="58">
        <v>0.9</v>
      </c>
      <c r="E30" s="58">
        <v>15</v>
      </c>
      <c r="F30" s="58">
        <v>17</v>
      </c>
      <c r="G30" s="58" t="s">
        <v>221</v>
      </c>
      <c r="H30" s="59">
        <v>6</v>
      </c>
      <c r="I30" s="58" t="s">
        <v>153</v>
      </c>
      <c r="J30" s="58" t="s">
        <v>274</v>
      </c>
      <c r="K30" s="58" t="s">
        <v>153</v>
      </c>
      <c r="L30" s="58" t="s">
        <v>153</v>
      </c>
      <c r="M30" s="58" t="s">
        <v>154</v>
      </c>
      <c r="N30" s="58" t="s">
        <v>162</v>
      </c>
      <c r="O30" s="266" t="s">
        <v>211</v>
      </c>
      <c r="P30" s="305" t="s">
        <v>259</v>
      </c>
      <c r="Q30" s="306"/>
      <c r="R30" s="77"/>
      <c r="S30" s="63"/>
    </row>
    <row r="31" spans="1:19" s="9" customFormat="1" ht="12.75">
      <c r="A31" s="73" t="s">
        <v>287</v>
      </c>
      <c r="B31" s="78"/>
      <c r="C31" s="75">
        <v>650</v>
      </c>
      <c r="D31" s="75">
        <v>1.2</v>
      </c>
      <c r="E31" s="75">
        <v>25</v>
      </c>
      <c r="F31" s="75">
        <v>30</v>
      </c>
      <c r="G31" s="75">
        <v>100</v>
      </c>
      <c r="H31" s="79">
        <v>6</v>
      </c>
      <c r="I31" s="75" t="s">
        <v>153</v>
      </c>
      <c r="J31" s="75" t="s">
        <v>274</v>
      </c>
      <c r="K31" s="75" t="s">
        <v>153</v>
      </c>
      <c r="L31" s="75" t="s">
        <v>153</v>
      </c>
      <c r="M31" s="75" t="s">
        <v>156</v>
      </c>
      <c r="N31" s="75" t="s">
        <v>277</v>
      </c>
      <c r="O31" s="307"/>
      <c r="P31" s="306"/>
      <c r="Q31" s="321" t="s">
        <v>213</v>
      </c>
      <c r="R31" s="77"/>
      <c r="S31" s="81"/>
    </row>
    <row r="32" spans="1:18" s="9" customFormat="1" ht="12.75">
      <c r="A32" s="65" t="s">
        <v>258</v>
      </c>
      <c r="B32" s="66"/>
      <c r="C32" s="67">
        <v>650</v>
      </c>
      <c r="D32" s="67">
        <v>1.2</v>
      </c>
      <c r="E32" s="67">
        <v>25</v>
      </c>
      <c r="F32" s="67">
        <v>30</v>
      </c>
      <c r="G32" s="67" t="s">
        <v>216</v>
      </c>
      <c r="H32" s="68">
        <v>6</v>
      </c>
      <c r="I32" s="67" t="s">
        <v>153</v>
      </c>
      <c r="J32" s="67" t="s">
        <v>274</v>
      </c>
      <c r="K32" s="67" t="s">
        <v>153</v>
      </c>
      <c r="L32" s="67" t="s">
        <v>153</v>
      </c>
      <c r="M32" s="67" t="s">
        <v>154</v>
      </c>
      <c r="N32" s="67" t="s">
        <v>210</v>
      </c>
      <c r="O32" s="308"/>
      <c r="P32" s="267"/>
      <c r="Q32" s="321"/>
      <c r="R32" s="64"/>
    </row>
    <row r="33" spans="1:18" s="88" customFormat="1" ht="13.5" customHeight="1">
      <c r="A33" s="82" t="s">
        <v>288</v>
      </c>
      <c r="B33" s="74" t="s">
        <v>289</v>
      </c>
      <c r="C33" s="83">
        <v>650</v>
      </c>
      <c r="D33" s="84">
        <v>2.15</v>
      </c>
      <c r="E33" s="83">
        <v>25</v>
      </c>
      <c r="F33" s="83">
        <v>30</v>
      </c>
      <c r="G33" s="83" t="s">
        <v>216</v>
      </c>
      <c r="H33" s="85">
        <v>4.5</v>
      </c>
      <c r="I33" s="83" t="s">
        <v>153</v>
      </c>
      <c r="J33" s="83" t="s">
        <v>153</v>
      </c>
      <c r="K33" s="83" t="s">
        <v>153</v>
      </c>
      <c r="L33" s="83" t="s">
        <v>153</v>
      </c>
      <c r="M33" s="83" t="s">
        <v>154</v>
      </c>
      <c r="N33" s="83" t="s">
        <v>250</v>
      </c>
      <c r="O33" s="86" t="s">
        <v>290</v>
      </c>
      <c r="P33" s="306" t="s">
        <v>262</v>
      </c>
      <c r="Q33" s="321"/>
      <c r="R33" s="87"/>
    </row>
    <row r="34" spans="1:18" s="9" customFormat="1" ht="12.75">
      <c r="A34" s="73" t="s">
        <v>261</v>
      </c>
      <c r="B34" s="78"/>
      <c r="C34" s="75">
        <v>650</v>
      </c>
      <c r="D34" s="75">
        <v>2.15</v>
      </c>
      <c r="E34" s="75">
        <v>40</v>
      </c>
      <c r="F34" s="75">
        <v>50</v>
      </c>
      <c r="G34" s="75" t="s">
        <v>275</v>
      </c>
      <c r="H34" s="75">
        <v>4.5</v>
      </c>
      <c r="I34" s="75" t="s">
        <v>153</v>
      </c>
      <c r="J34" s="75" t="s">
        <v>153</v>
      </c>
      <c r="K34" s="75" t="s">
        <v>153</v>
      </c>
      <c r="L34" s="75" t="s">
        <v>153</v>
      </c>
      <c r="M34" s="75" t="s">
        <v>154</v>
      </c>
      <c r="N34" s="75" t="s">
        <v>210</v>
      </c>
      <c r="O34" s="80" t="s">
        <v>217</v>
      </c>
      <c r="P34" s="306"/>
      <c r="Q34" s="321"/>
      <c r="R34" s="64"/>
    </row>
    <row r="35" spans="1:18" s="9" customFormat="1" ht="12.75">
      <c r="A35" s="56" t="s">
        <v>268</v>
      </c>
      <c r="B35" s="57"/>
      <c r="C35" s="58">
        <v>650</v>
      </c>
      <c r="D35" s="59">
        <v>5</v>
      </c>
      <c r="E35" s="58">
        <v>100</v>
      </c>
      <c r="F35" s="58">
        <v>120</v>
      </c>
      <c r="G35" s="58">
        <v>67</v>
      </c>
      <c r="H35" s="58">
        <v>1.6</v>
      </c>
      <c r="I35" s="58" t="s">
        <v>153</v>
      </c>
      <c r="J35" s="58" t="s">
        <v>153</v>
      </c>
      <c r="K35" s="58" t="s">
        <v>153</v>
      </c>
      <c r="L35" s="58" t="s">
        <v>153</v>
      </c>
      <c r="M35" s="58" t="s">
        <v>156</v>
      </c>
      <c r="N35" s="58" t="s">
        <v>277</v>
      </c>
      <c r="O35" s="266" t="s">
        <v>223</v>
      </c>
      <c r="P35" s="316" t="s">
        <v>269</v>
      </c>
      <c r="Q35" s="328" t="s">
        <v>270</v>
      </c>
      <c r="R35" s="323"/>
    </row>
    <row r="36" spans="1:18" s="9" customFormat="1" ht="12.75">
      <c r="A36" s="65" t="s">
        <v>272</v>
      </c>
      <c r="B36" s="66"/>
      <c r="C36" s="67">
        <v>650</v>
      </c>
      <c r="D36" s="68">
        <v>6</v>
      </c>
      <c r="E36" s="67">
        <v>120</v>
      </c>
      <c r="F36" s="67">
        <v>145</v>
      </c>
      <c r="G36" s="67">
        <v>67</v>
      </c>
      <c r="H36" s="67">
        <v>1.2</v>
      </c>
      <c r="I36" s="67" t="s">
        <v>155</v>
      </c>
      <c r="J36" s="67" t="s">
        <v>155</v>
      </c>
      <c r="K36" s="67" t="s">
        <v>155</v>
      </c>
      <c r="L36" s="67" t="s">
        <v>155</v>
      </c>
      <c r="M36" s="67" t="s">
        <v>156</v>
      </c>
      <c r="N36" s="67" t="s">
        <v>222</v>
      </c>
      <c r="O36" s="308"/>
      <c r="P36" s="318"/>
      <c r="Q36" s="328"/>
      <c r="R36" s="323"/>
    </row>
    <row r="37" spans="1:18" s="24" customFormat="1" ht="12.75">
      <c r="A37" s="30" t="s">
        <v>291</v>
      </c>
      <c r="B37" s="31" t="s">
        <v>234</v>
      </c>
      <c r="C37" s="32">
        <v>650</v>
      </c>
      <c r="D37" s="33">
        <v>4</v>
      </c>
      <c r="E37" s="32">
        <v>80</v>
      </c>
      <c r="F37" s="32">
        <v>100</v>
      </c>
      <c r="G37" s="32" t="s">
        <v>292</v>
      </c>
      <c r="H37" s="32">
        <v>1.6</v>
      </c>
      <c r="I37" s="32" t="s">
        <v>155</v>
      </c>
      <c r="J37" s="32" t="s">
        <v>155</v>
      </c>
      <c r="K37" s="32" t="s">
        <v>155</v>
      </c>
      <c r="L37" s="32" t="s">
        <v>155</v>
      </c>
      <c r="M37" s="32" t="s">
        <v>156</v>
      </c>
      <c r="N37" s="32" t="s">
        <v>277</v>
      </c>
      <c r="O37" s="40" t="s">
        <v>236</v>
      </c>
      <c r="P37" s="319" t="s">
        <v>237</v>
      </c>
      <c r="Q37" s="320" t="s">
        <v>238</v>
      </c>
      <c r="R37" s="48"/>
    </row>
    <row r="38" spans="1:18" s="24" customFormat="1" ht="12.75">
      <c r="A38" s="30" t="s">
        <v>293</v>
      </c>
      <c r="B38" s="31" t="s">
        <v>294</v>
      </c>
      <c r="C38" s="32">
        <v>650</v>
      </c>
      <c r="D38" s="33">
        <v>6</v>
      </c>
      <c r="E38" s="32">
        <v>120</v>
      </c>
      <c r="F38" s="32">
        <v>145</v>
      </c>
      <c r="G38" s="32" t="s">
        <v>292</v>
      </c>
      <c r="H38" s="32">
        <v>1.2</v>
      </c>
      <c r="I38" s="32" t="s">
        <v>155</v>
      </c>
      <c r="J38" s="32" t="s">
        <v>155</v>
      </c>
      <c r="K38" s="32" t="s">
        <v>155</v>
      </c>
      <c r="L38" s="32" t="s">
        <v>155</v>
      </c>
      <c r="M38" s="32" t="s">
        <v>156</v>
      </c>
      <c r="N38" s="32" t="s">
        <v>222</v>
      </c>
      <c r="O38" s="40" t="s">
        <v>295</v>
      </c>
      <c r="P38" s="319"/>
      <c r="Q38" s="320"/>
      <c r="R38" s="48"/>
    </row>
    <row r="39" spans="1:18" s="24" customFormat="1" ht="12.75">
      <c r="A39" s="30" t="s">
        <v>296</v>
      </c>
      <c r="B39" s="31" t="s">
        <v>297</v>
      </c>
      <c r="C39" s="32">
        <v>650</v>
      </c>
      <c r="D39" s="33">
        <v>6</v>
      </c>
      <c r="E39" s="32">
        <v>120</v>
      </c>
      <c r="F39" s="32">
        <v>145</v>
      </c>
      <c r="G39" s="32" t="s">
        <v>292</v>
      </c>
      <c r="H39" s="32">
        <v>0.9</v>
      </c>
      <c r="I39" s="32" t="s">
        <v>155</v>
      </c>
      <c r="J39" s="32" t="s">
        <v>155</v>
      </c>
      <c r="K39" s="32" t="s">
        <v>155</v>
      </c>
      <c r="L39" s="32" t="s">
        <v>155</v>
      </c>
      <c r="M39" s="32" t="s">
        <v>156</v>
      </c>
      <c r="N39" s="32" t="s">
        <v>222</v>
      </c>
      <c r="O39" s="40" t="s">
        <v>298</v>
      </c>
      <c r="P39" s="319"/>
      <c r="Q39" s="320"/>
      <c r="R39" s="48"/>
    </row>
    <row r="40" spans="1:18" s="24" customFormat="1" ht="12.75">
      <c r="A40" s="30" t="s">
        <v>299</v>
      </c>
      <c r="B40" s="31" t="s">
        <v>297</v>
      </c>
      <c r="C40" s="32">
        <v>650</v>
      </c>
      <c r="D40" s="33">
        <v>8</v>
      </c>
      <c r="E40" s="32">
        <v>160</v>
      </c>
      <c r="F40" s="32">
        <v>190</v>
      </c>
      <c r="G40" s="32" t="s">
        <v>292</v>
      </c>
      <c r="H40" s="32">
        <v>0.9</v>
      </c>
      <c r="I40" s="32" t="s">
        <v>155</v>
      </c>
      <c r="J40" s="32" t="s">
        <v>155</v>
      </c>
      <c r="K40" s="32" t="s">
        <v>155</v>
      </c>
      <c r="L40" s="32" t="s">
        <v>155</v>
      </c>
      <c r="M40" s="32" t="s">
        <v>156</v>
      </c>
      <c r="N40" s="32" t="s">
        <v>222</v>
      </c>
      <c r="O40" s="40" t="s">
        <v>298</v>
      </c>
      <c r="P40" s="319"/>
      <c r="Q40" s="320"/>
      <c r="R40" s="48"/>
    </row>
    <row r="41" spans="1:18" s="9" customFormat="1" ht="12.75">
      <c r="A41" s="89" t="s">
        <v>300</v>
      </c>
      <c r="B41" s="90"/>
      <c r="C41" s="91">
        <v>650</v>
      </c>
      <c r="D41" s="92">
        <v>3.5</v>
      </c>
      <c r="E41" s="91">
        <v>70</v>
      </c>
      <c r="F41" s="91">
        <v>80</v>
      </c>
      <c r="G41" s="91" t="s">
        <v>301</v>
      </c>
      <c r="H41" s="91">
        <v>2.2</v>
      </c>
      <c r="I41" s="91" t="s">
        <v>274</v>
      </c>
      <c r="J41" s="91" t="s">
        <v>302</v>
      </c>
      <c r="K41" s="91" t="s">
        <v>274</v>
      </c>
      <c r="L41" s="91" t="s">
        <v>302</v>
      </c>
      <c r="M41" s="91" t="s">
        <v>303</v>
      </c>
      <c r="N41" s="91" t="s">
        <v>304</v>
      </c>
      <c r="O41" s="93"/>
      <c r="P41" s="316" t="s">
        <v>243</v>
      </c>
      <c r="Q41" s="305" t="s">
        <v>244</v>
      </c>
      <c r="R41" s="324" t="s">
        <v>305</v>
      </c>
    </row>
    <row r="42" spans="1:18" s="88" customFormat="1" ht="12.75">
      <c r="A42" s="73" t="s">
        <v>306</v>
      </c>
      <c r="B42" s="78"/>
      <c r="C42" s="75">
        <v>400</v>
      </c>
      <c r="D42" s="79">
        <v>5</v>
      </c>
      <c r="E42" s="75">
        <v>100</v>
      </c>
      <c r="F42" s="75" t="s">
        <v>307</v>
      </c>
      <c r="G42" s="75" t="s">
        <v>301</v>
      </c>
      <c r="H42" s="75">
        <v>1.1</v>
      </c>
      <c r="I42" s="75" t="s">
        <v>153</v>
      </c>
      <c r="J42" s="75" t="s">
        <v>155</v>
      </c>
      <c r="K42" s="75" t="s">
        <v>153</v>
      </c>
      <c r="L42" s="75" t="s">
        <v>155</v>
      </c>
      <c r="M42" s="75" t="s">
        <v>154</v>
      </c>
      <c r="N42" s="75" t="s">
        <v>304</v>
      </c>
      <c r="O42" s="94" t="s">
        <v>307</v>
      </c>
      <c r="P42" s="317"/>
      <c r="Q42" s="306"/>
      <c r="R42" s="325"/>
    </row>
    <row r="43" spans="1:18" s="88" customFormat="1" ht="12.75">
      <c r="A43" s="82" t="s">
        <v>240</v>
      </c>
      <c r="B43" s="74" t="s">
        <v>308</v>
      </c>
      <c r="C43" s="83">
        <v>650</v>
      </c>
      <c r="D43" s="85">
        <v>5</v>
      </c>
      <c r="E43" s="83">
        <v>100</v>
      </c>
      <c r="F43" s="83">
        <v>130</v>
      </c>
      <c r="G43" s="83" t="s">
        <v>301</v>
      </c>
      <c r="H43" s="83">
        <v>1.6</v>
      </c>
      <c r="I43" s="83" t="s">
        <v>274</v>
      </c>
      <c r="J43" s="83" t="s">
        <v>302</v>
      </c>
      <c r="K43" s="83" t="s">
        <v>274</v>
      </c>
      <c r="L43" s="83" t="s">
        <v>302</v>
      </c>
      <c r="M43" s="83" t="s">
        <v>303</v>
      </c>
      <c r="N43" s="83" t="s">
        <v>304</v>
      </c>
      <c r="O43" s="94" t="s">
        <v>160</v>
      </c>
      <c r="P43" s="317"/>
      <c r="Q43" s="306"/>
      <c r="R43" s="323"/>
    </row>
    <row r="44" spans="1:18" s="9" customFormat="1" ht="12.75">
      <c r="A44" s="73" t="s">
        <v>246</v>
      </c>
      <c r="B44" s="78"/>
      <c r="C44" s="75">
        <v>650</v>
      </c>
      <c r="D44" s="79">
        <v>6</v>
      </c>
      <c r="E44" s="75">
        <v>150</v>
      </c>
      <c r="F44" s="75">
        <v>180</v>
      </c>
      <c r="G44" s="75" t="s">
        <v>301</v>
      </c>
      <c r="H44" s="75">
        <v>0.9</v>
      </c>
      <c r="I44" s="75" t="s">
        <v>153</v>
      </c>
      <c r="J44" s="75" t="s">
        <v>155</v>
      </c>
      <c r="K44" s="75" t="s">
        <v>153</v>
      </c>
      <c r="L44" s="75" t="s">
        <v>155</v>
      </c>
      <c r="M44" s="75" t="s">
        <v>154</v>
      </c>
      <c r="N44" s="75" t="s">
        <v>304</v>
      </c>
      <c r="O44" s="94" t="s">
        <v>295</v>
      </c>
      <c r="P44" s="317"/>
      <c r="Q44" s="306"/>
      <c r="R44" s="323"/>
    </row>
    <row r="45" spans="1:18" s="9" customFormat="1" ht="12.75">
      <c r="A45" s="73" t="s">
        <v>309</v>
      </c>
      <c r="B45" s="78"/>
      <c r="C45" s="75">
        <v>650</v>
      </c>
      <c r="D45" s="79">
        <v>8</v>
      </c>
      <c r="E45" s="75">
        <v>200</v>
      </c>
      <c r="F45" s="75">
        <v>230</v>
      </c>
      <c r="G45" s="75" t="s">
        <v>301</v>
      </c>
      <c r="H45" s="75">
        <v>0.9</v>
      </c>
      <c r="I45" s="75" t="s">
        <v>153</v>
      </c>
      <c r="J45" s="75" t="s">
        <v>155</v>
      </c>
      <c r="K45" s="75" t="s">
        <v>153</v>
      </c>
      <c r="L45" s="75" t="s">
        <v>155</v>
      </c>
      <c r="M45" s="75" t="s">
        <v>154</v>
      </c>
      <c r="N45" s="75" t="s">
        <v>241</v>
      </c>
      <c r="O45" s="94" t="s">
        <v>298</v>
      </c>
      <c r="P45" s="317"/>
      <c r="Q45" s="306"/>
      <c r="R45" s="323"/>
    </row>
    <row r="46" spans="1:18" s="99" customFormat="1" ht="12.75">
      <c r="A46" s="95" t="s">
        <v>310</v>
      </c>
      <c r="B46" s="74"/>
      <c r="C46" s="96">
        <v>650</v>
      </c>
      <c r="D46" s="97">
        <v>8</v>
      </c>
      <c r="E46" s="96">
        <v>200</v>
      </c>
      <c r="F46" s="96">
        <v>230</v>
      </c>
      <c r="G46" s="96" t="s">
        <v>301</v>
      </c>
      <c r="H46" s="96">
        <v>0.9</v>
      </c>
      <c r="I46" s="96" t="s">
        <v>153</v>
      </c>
      <c r="J46" s="96" t="s">
        <v>155</v>
      </c>
      <c r="K46" s="96" t="s">
        <v>153</v>
      </c>
      <c r="L46" s="96" t="s">
        <v>155</v>
      </c>
      <c r="M46" s="96" t="s">
        <v>154</v>
      </c>
      <c r="N46" s="96" t="s">
        <v>241</v>
      </c>
      <c r="O46" s="98" t="s">
        <v>298</v>
      </c>
      <c r="P46" s="317"/>
      <c r="Q46" s="306"/>
      <c r="R46" s="323"/>
    </row>
    <row r="47" spans="1:18" s="99" customFormat="1" ht="12.75">
      <c r="A47" s="65" t="s">
        <v>311</v>
      </c>
      <c r="B47" s="66"/>
      <c r="C47" s="67">
        <v>650</v>
      </c>
      <c r="D47" s="68">
        <v>11.5</v>
      </c>
      <c r="E47" s="67">
        <v>270</v>
      </c>
      <c r="F47" s="67">
        <v>300</v>
      </c>
      <c r="G47" s="67" t="s">
        <v>301</v>
      </c>
      <c r="H47" s="67">
        <v>0.65</v>
      </c>
      <c r="I47" s="67" t="s">
        <v>153</v>
      </c>
      <c r="J47" s="67" t="s">
        <v>155</v>
      </c>
      <c r="K47" s="67" t="s">
        <v>153</v>
      </c>
      <c r="L47" s="67" t="s">
        <v>155</v>
      </c>
      <c r="M47" s="67" t="s">
        <v>154</v>
      </c>
      <c r="N47" s="67" t="s">
        <v>241</v>
      </c>
      <c r="O47" s="100" t="s">
        <v>307</v>
      </c>
      <c r="P47" s="318"/>
      <c r="Q47" s="267"/>
      <c r="R47" s="326"/>
    </row>
    <row r="48" spans="1:18" s="15" customFormat="1" ht="15">
      <c r="A48" s="265" t="s">
        <v>312</v>
      </c>
      <c r="B48" s="265"/>
      <c r="C48" s="265"/>
      <c r="D48" s="265"/>
      <c r="E48" s="102"/>
      <c r="F48" s="102"/>
      <c r="G48" s="102"/>
      <c r="H48" s="102"/>
      <c r="I48" s="103"/>
      <c r="J48" s="103"/>
      <c r="K48" s="103"/>
      <c r="L48" s="103"/>
      <c r="M48" s="103"/>
      <c r="N48" s="104"/>
      <c r="O48" s="105"/>
      <c r="P48" s="102"/>
      <c r="Q48" s="106"/>
      <c r="R48" s="102"/>
    </row>
    <row r="49" spans="1:18" s="24" customFormat="1" ht="12.75">
      <c r="A49" s="16" t="s">
        <v>313</v>
      </c>
      <c r="B49" s="17" t="s">
        <v>314</v>
      </c>
      <c r="C49" s="18">
        <v>650</v>
      </c>
      <c r="D49" s="107">
        <v>2</v>
      </c>
      <c r="E49" s="18">
        <v>55</v>
      </c>
      <c r="F49" s="18">
        <v>65</v>
      </c>
      <c r="G49" s="18">
        <v>70</v>
      </c>
      <c r="H49" s="18">
        <v>1.6</v>
      </c>
      <c r="I49" s="18" t="s">
        <v>153</v>
      </c>
      <c r="J49" s="18" t="s">
        <v>153</v>
      </c>
      <c r="K49" s="18" t="s">
        <v>153</v>
      </c>
      <c r="L49" s="18" t="s">
        <v>155</v>
      </c>
      <c r="M49" s="18" t="s">
        <v>156</v>
      </c>
      <c r="N49" s="18" t="s">
        <v>304</v>
      </c>
      <c r="O49" s="314" t="s">
        <v>158</v>
      </c>
      <c r="P49" s="294" t="s">
        <v>315</v>
      </c>
      <c r="Q49" s="305" t="s">
        <v>316</v>
      </c>
      <c r="R49" s="297" t="s">
        <v>317</v>
      </c>
    </row>
    <row r="50" spans="1:18" s="115" customFormat="1" ht="12.75">
      <c r="A50" s="110" t="s">
        <v>318</v>
      </c>
      <c r="B50" s="111"/>
      <c r="C50" s="112">
        <v>650</v>
      </c>
      <c r="D50" s="113">
        <v>3.2</v>
      </c>
      <c r="E50" s="112">
        <v>80</v>
      </c>
      <c r="F50" s="112">
        <v>95</v>
      </c>
      <c r="G50" s="112">
        <v>70</v>
      </c>
      <c r="H50" s="112">
        <v>0.9</v>
      </c>
      <c r="I50" s="67" t="s">
        <v>153</v>
      </c>
      <c r="J50" s="67" t="s">
        <v>153</v>
      </c>
      <c r="K50" s="67" t="s">
        <v>153</v>
      </c>
      <c r="L50" s="67" t="s">
        <v>155</v>
      </c>
      <c r="M50" s="67" t="s">
        <v>156</v>
      </c>
      <c r="N50" s="112" t="s">
        <v>304</v>
      </c>
      <c r="O50" s="315"/>
      <c r="P50" s="295"/>
      <c r="Q50" s="267"/>
      <c r="R50" s="298"/>
    </row>
    <row r="51" spans="1:18" s="24" customFormat="1" ht="12.75">
      <c r="A51" s="30" t="s">
        <v>319</v>
      </c>
      <c r="B51" s="31" t="s">
        <v>234</v>
      </c>
      <c r="C51" s="32">
        <v>650</v>
      </c>
      <c r="D51" s="33">
        <v>4</v>
      </c>
      <c r="E51" s="32">
        <v>80</v>
      </c>
      <c r="F51" s="32">
        <v>100</v>
      </c>
      <c r="G51" s="32" t="s">
        <v>292</v>
      </c>
      <c r="H51" s="32">
        <v>1.6</v>
      </c>
      <c r="I51" s="32" t="s">
        <v>153</v>
      </c>
      <c r="J51" s="32" t="s">
        <v>153</v>
      </c>
      <c r="K51" s="32" t="s">
        <v>153</v>
      </c>
      <c r="L51" s="32" t="s">
        <v>153</v>
      </c>
      <c r="M51" s="32" t="s">
        <v>156</v>
      </c>
      <c r="N51" s="32" t="s">
        <v>277</v>
      </c>
      <c r="O51" s="40" t="s">
        <v>236</v>
      </c>
      <c r="P51" s="303" t="s">
        <v>161</v>
      </c>
      <c r="Q51" s="306" t="s">
        <v>320</v>
      </c>
      <c r="R51" s="323" t="s">
        <v>317</v>
      </c>
    </row>
    <row r="52" spans="1:18" s="24" customFormat="1" ht="12.75">
      <c r="A52" s="30" t="s">
        <v>167</v>
      </c>
      <c r="B52" s="31" t="s">
        <v>294</v>
      </c>
      <c r="C52" s="32">
        <v>650</v>
      </c>
      <c r="D52" s="33">
        <v>6</v>
      </c>
      <c r="E52" s="32">
        <v>120</v>
      </c>
      <c r="F52" s="32">
        <v>145</v>
      </c>
      <c r="G52" s="32" t="s">
        <v>164</v>
      </c>
      <c r="H52" s="32">
        <v>1.2</v>
      </c>
      <c r="I52" s="32" t="s">
        <v>153</v>
      </c>
      <c r="J52" s="32" t="s">
        <v>155</v>
      </c>
      <c r="K52" s="32" t="s">
        <v>153</v>
      </c>
      <c r="L52" s="32" t="s">
        <v>155</v>
      </c>
      <c r="M52" s="32" t="s">
        <v>156</v>
      </c>
      <c r="N52" s="32" t="s">
        <v>166</v>
      </c>
      <c r="O52" s="40" t="s">
        <v>165</v>
      </c>
      <c r="P52" s="303"/>
      <c r="Q52" s="306"/>
      <c r="R52" s="323"/>
    </row>
    <row r="53" spans="1:18" s="88" customFormat="1" ht="12.75">
      <c r="A53" s="82" t="s">
        <v>321</v>
      </c>
      <c r="B53" s="116"/>
      <c r="C53" s="83">
        <v>650</v>
      </c>
      <c r="D53" s="85">
        <v>6</v>
      </c>
      <c r="E53" s="83">
        <v>120</v>
      </c>
      <c r="F53" s="83">
        <v>145</v>
      </c>
      <c r="G53" s="83" t="s">
        <v>292</v>
      </c>
      <c r="H53" s="83">
        <v>1.2</v>
      </c>
      <c r="I53" s="75" t="s">
        <v>153</v>
      </c>
      <c r="J53" s="75" t="s">
        <v>155</v>
      </c>
      <c r="K53" s="75" t="s">
        <v>153</v>
      </c>
      <c r="L53" s="75" t="s">
        <v>155</v>
      </c>
      <c r="M53" s="75" t="s">
        <v>156</v>
      </c>
      <c r="N53" s="83" t="s">
        <v>222</v>
      </c>
      <c r="O53" s="86" t="s">
        <v>165</v>
      </c>
      <c r="P53" s="303"/>
      <c r="Q53" s="306"/>
      <c r="R53" s="323"/>
    </row>
    <row r="54" spans="1:18" s="88" customFormat="1" ht="12.75">
      <c r="A54" s="82" t="s">
        <v>294</v>
      </c>
      <c r="B54" s="116"/>
      <c r="C54" s="83">
        <v>650</v>
      </c>
      <c r="D54" s="85">
        <v>6</v>
      </c>
      <c r="E54" s="83">
        <v>120</v>
      </c>
      <c r="F54" s="83">
        <v>145</v>
      </c>
      <c r="G54" s="83" t="s">
        <v>292</v>
      </c>
      <c r="H54" s="83">
        <v>1.2</v>
      </c>
      <c r="I54" s="83" t="s">
        <v>153</v>
      </c>
      <c r="J54" s="83" t="s">
        <v>153</v>
      </c>
      <c r="K54" s="83" t="s">
        <v>153</v>
      </c>
      <c r="L54" s="83" t="s">
        <v>153</v>
      </c>
      <c r="M54" s="83" t="s">
        <v>156</v>
      </c>
      <c r="N54" s="83" t="s">
        <v>277</v>
      </c>
      <c r="O54" s="86" t="s">
        <v>165</v>
      </c>
      <c r="P54" s="303"/>
      <c r="Q54" s="306"/>
      <c r="R54" s="323"/>
    </row>
    <row r="55" spans="1:18" s="88" customFormat="1" ht="12.75">
      <c r="A55" s="82" t="s">
        <v>297</v>
      </c>
      <c r="B55" s="116"/>
      <c r="C55" s="83">
        <v>650</v>
      </c>
      <c r="D55" s="85">
        <v>8</v>
      </c>
      <c r="E55" s="83">
        <v>160</v>
      </c>
      <c r="F55" s="83">
        <v>190</v>
      </c>
      <c r="G55" s="83" t="s">
        <v>292</v>
      </c>
      <c r="H55" s="83">
        <v>0.9</v>
      </c>
      <c r="I55" s="75" t="s">
        <v>153</v>
      </c>
      <c r="J55" s="75" t="s">
        <v>153</v>
      </c>
      <c r="K55" s="75" t="s">
        <v>153</v>
      </c>
      <c r="L55" s="75" t="s">
        <v>153</v>
      </c>
      <c r="M55" s="75" t="s">
        <v>156</v>
      </c>
      <c r="N55" s="83" t="s">
        <v>222</v>
      </c>
      <c r="O55" s="86" t="s">
        <v>298</v>
      </c>
      <c r="P55" s="303"/>
      <c r="Q55" s="306"/>
      <c r="R55" s="323"/>
    </row>
    <row r="56" spans="1:18" s="88" customFormat="1" ht="12.75">
      <c r="A56" s="82" t="s">
        <v>322</v>
      </c>
      <c r="B56" s="116"/>
      <c r="C56" s="83">
        <v>650</v>
      </c>
      <c r="D56" s="85">
        <v>9.7</v>
      </c>
      <c r="E56" s="83">
        <v>200</v>
      </c>
      <c r="F56" s="83">
        <v>240</v>
      </c>
      <c r="G56" s="83" t="s">
        <v>292</v>
      </c>
      <c r="H56" s="83">
        <v>0.65</v>
      </c>
      <c r="I56" s="75" t="s">
        <v>153</v>
      </c>
      <c r="J56" s="75" t="s">
        <v>153</v>
      </c>
      <c r="K56" s="75" t="s">
        <v>153</v>
      </c>
      <c r="L56" s="75" t="s">
        <v>153</v>
      </c>
      <c r="M56" s="75" t="s">
        <v>156</v>
      </c>
      <c r="N56" s="83" t="s">
        <v>157</v>
      </c>
      <c r="O56" s="86" t="s">
        <v>307</v>
      </c>
      <c r="P56" s="303"/>
      <c r="Q56" s="306"/>
      <c r="R56" s="323"/>
    </row>
    <row r="57" spans="1:18" s="88" customFormat="1" ht="12.75">
      <c r="A57" s="89" t="s">
        <v>220</v>
      </c>
      <c r="B57" s="90"/>
      <c r="C57" s="91">
        <v>800</v>
      </c>
      <c r="D57" s="92">
        <v>4</v>
      </c>
      <c r="E57" s="91">
        <v>80</v>
      </c>
      <c r="F57" s="91">
        <v>100</v>
      </c>
      <c r="G57" s="91">
        <v>66</v>
      </c>
      <c r="H57" s="92">
        <v>2</v>
      </c>
      <c r="I57" s="91" t="s">
        <v>155</v>
      </c>
      <c r="J57" s="91" t="s">
        <v>155</v>
      </c>
      <c r="K57" s="91" t="s">
        <v>155</v>
      </c>
      <c r="L57" s="91" t="s">
        <v>155</v>
      </c>
      <c r="M57" s="91" t="s">
        <v>156</v>
      </c>
      <c r="N57" s="91" t="s">
        <v>157</v>
      </c>
      <c r="O57" s="108" t="s">
        <v>158</v>
      </c>
      <c r="P57" s="294" t="s">
        <v>323</v>
      </c>
      <c r="Q57" s="299" t="s">
        <v>324</v>
      </c>
      <c r="R57" s="297"/>
    </row>
    <row r="58" spans="1:18" s="99" customFormat="1" ht="13.5" customHeight="1">
      <c r="A58" s="110" t="s">
        <v>229</v>
      </c>
      <c r="B58" s="111"/>
      <c r="C58" s="112">
        <v>800</v>
      </c>
      <c r="D58" s="118">
        <v>5</v>
      </c>
      <c r="E58" s="112">
        <v>110</v>
      </c>
      <c r="F58" s="112">
        <v>130</v>
      </c>
      <c r="G58" s="112">
        <v>66</v>
      </c>
      <c r="H58" s="112">
        <v>1.5</v>
      </c>
      <c r="I58" s="112" t="s">
        <v>155</v>
      </c>
      <c r="J58" s="112" t="s">
        <v>155</v>
      </c>
      <c r="K58" s="112" t="s">
        <v>155</v>
      </c>
      <c r="L58" s="112" t="s">
        <v>155</v>
      </c>
      <c r="M58" s="112" t="s">
        <v>325</v>
      </c>
      <c r="N58" s="112" t="s">
        <v>222</v>
      </c>
      <c r="O58" s="114" t="s">
        <v>223</v>
      </c>
      <c r="P58" s="295"/>
      <c r="Q58" s="300"/>
      <c r="R58" s="298"/>
    </row>
    <row r="59" spans="1:18" s="88" customFormat="1" ht="13.5" customHeight="1">
      <c r="A59" s="82" t="s">
        <v>234</v>
      </c>
      <c r="B59" s="116"/>
      <c r="C59" s="83">
        <v>650</v>
      </c>
      <c r="D59" s="85">
        <v>4</v>
      </c>
      <c r="E59" s="83">
        <v>80</v>
      </c>
      <c r="F59" s="83">
        <v>100</v>
      </c>
      <c r="G59" s="83" t="s">
        <v>164</v>
      </c>
      <c r="H59" s="83">
        <v>1.6</v>
      </c>
      <c r="I59" s="83" t="s">
        <v>153</v>
      </c>
      <c r="J59" s="83" t="s">
        <v>153</v>
      </c>
      <c r="K59" s="83" t="s">
        <v>154</v>
      </c>
      <c r="L59" s="83" t="s">
        <v>153</v>
      </c>
      <c r="M59" s="83" t="s">
        <v>156</v>
      </c>
      <c r="N59" s="83" t="s">
        <v>163</v>
      </c>
      <c r="O59" s="86" t="s">
        <v>168</v>
      </c>
      <c r="P59" s="112"/>
      <c r="Q59" s="120"/>
      <c r="R59" s="121" t="s">
        <v>326</v>
      </c>
    </row>
    <row r="60" spans="1:18" s="88" customFormat="1" ht="13.5" customHeight="1">
      <c r="A60" s="89" t="s">
        <v>327</v>
      </c>
      <c r="B60" s="90"/>
      <c r="C60" s="91">
        <v>200</v>
      </c>
      <c r="D60" s="92">
        <v>3.2</v>
      </c>
      <c r="E60" s="122">
        <v>40</v>
      </c>
      <c r="F60" s="123" t="s">
        <v>328</v>
      </c>
      <c r="G60" s="91">
        <v>300</v>
      </c>
      <c r="H60" s="91">
        <v>0.3</v>
      </c>
      <c r="I60" s="58" t="s">
        <v>274</v>
      </c>
      <c r="J60" s="58" t="s">
        <v>303</v>
      </c>
      <c r="K60" s="58" t="s">
        <v>274</v>
      </c>
      <c r="L60" s="58" t="s">
        <v>274</v>
      </c>
      <c r="M60" s="91" t="s">
        <v>303</v>
      </c>
      <c r="N60" s="91" t="s">
        <v>304</v>
      </c>
      <c r="O60" s="108" t="s">
        <v>329</v>
      </c>
      <c r="P60" s="294" t="s">
        <v>330</v>
      </c>
      <c r="Q60" s="117"/>
      <c r="R60" s="109"/>
    </row>
    <row r="61" spans="1:18" s="99" customFormat="1" ht="13.5" customHeight="1">
      <c r="A61" s="124" t="s">
        <v>331</v>
      </c>
      <c r="B61" s="125"/>
      <c r="C61" s="126">
        <v>200</v>
      </c>
      <c r="D61" s="127">
        <v>3.2</v>
      </c>
      <c r="E61" s="128">
        <v>40</v>
      </c>
      <c r="F61" s="129" t="s">
        <v>169</v>
      </c>
      <c r="G61" s="126">
        <v>300</v>
      </c>
      <c r="H61" s="126">
        <v>0.3</v>
      </c>
      <c r="I61" s="126" t="s">
        <v>153</v>
      </c>
      <c r="J61" s="126" t="s">
        <v>154</v>
      </c>
      <c r="K61" s="126" t="s">
        <v>153</v>
      </c>
      <c r="L61" s="126" t="s">
        <v>153</v>
      </c>
      <c r="M61" s="126" t="s">
        <v>303</v>
      </c>
      <c r="N61" s="126" t="s">
        <v>332</v>
      </c>
      <c r="O61" s="129" t="s">
        <v>170</v>
      </c>
      <c r="P61" s="295"/>
      <c r="Q61" s="130"/>
      <c r="R61" s="131"/>
    </row>
    <row r="62" spans="1:18" s="15" customFormat="1" ht="15">
      <c r="A62" s="302" t="s">
        <v>333</v>
      </c>
      <c r="B62" s="302"/>
      <c r="C62" s="302"/>
      <c r="D62" s="302"/>
      <c r="E62" s="102"/>
      <c r="F62" s="102"/>
      <c r="G62" s="102"/>
      <c r="H62" s="102"/>
      <c r="I62" s="103"/>
      <c r="J62" s="103"/>
      <c r="K62" s="103"/>
      <c r="L62" s="103"/>
      <c r="M62" s="103"/>
      <c r="N62" s="104"/>
      <c r="O62" s="105"/>
      <c r="P62" s="102"/>
      <c r="Q62" s="106"/>
      <c r="R62" s="43"/>
    </row>
    <row r="63" spans="1:19" s="24" customFormat="1" ht="13.5">
      <c r="A63" s="16" t="s">
        <v>334</v>
      </c>
      <c r="B63" s="17" t="s">
        <v>335</v>
      </c>
      <c r="C63" s="18">
        <v>650</v>
      </c>
      <c r="D63" s="18">
        <v>0.6</v>
      </c>
      <c r="E63" s="18" t="s">
        <v>336</v>
      </c>
      <c r="F63" s="18" t="s">
        <v>336</v>
      </c>
      <c r="G63" s="18">
        <v>100</v>
      </c>
      <c r="H63" s="18">
        <v>18</v>
      </c>
      <c r="I63" s="18" t="s">
        <v>153</v>
      </c>
      <c r="J63" s="18" t="s">
        <v>154</v>
      </c>
      <c r="K63" s="18" t="s">
        <v>154</v>
      </c>
      <c r="L63" s="18" t="s">
        <v>153</v>
      </c>
      <c r="M63" s="18" t="s">
        <v>154</v>
      </c>
      <c r="N63" s="18" t="s">
        <v>337</v>
      </c>
      <c r="O63" s="21" t="s">
        <v>338</v>
      </c>
      <c r="P63" s="294" t="s">
        <v>252</v>
      </c>
      <c r="Q63" s="305" t="s">
        <v>339</v>
      </c>
      <c r="R63" s="297" t="s">
        <v>340</v>
      </c>
      <c r="S63" s="132"/>
    </row>
    <row r="64" spans="1:19" s="24" customFormat="1" ht="13.5">
      <c r="A64" s="30" t="s">
        <v>341</v>
      </c>
      <c r="B64" s="31" t="s">
        <v>335</v>
      </c>
      <c r="C64" s="32">
        <v>650</v>
      </c>
      <c r="D64" s="32">
        <v>0.48</v>
      </c>
      <c r="E64" s="32" t="s">
        <v>336</v>
      </c>
      <c r="F64" s="32" t="s">
        <v>336</v>
      </c>
      <c r="G64" s="32">
        <v>100</v>
      </c>
      <c r="H64" s="32">
        <v>18</v>
      </c>
      <c r="I64" s="32" t="s">
        <v>153</v>
      </c>
      <c r="J64" s="32" t="s">
        <v>154</v>
      </c>
      <c r="K64" s="32" t="s">
        <v>154</v>
      </c>
      <c r="L64" s="32" t="s">
        <v>153</v>
      </c>
      <c r="M64" s="32" t="s">
        <v>154</v>
      </c>
      <c r="N64" s="32" t="s">
        <v>337</v>
      </c>
      <c r="O64" s="40" t="s">
        <v>338</v>
      </c>
      <c r="P64" s="303"/>
      <c r="Q64" s="306"/>
      <c r="R64" s="301"/>
      <c r="S64" s="132"/>
    </row>
    <row r="65" spans="1:18" s="24" customFormat="1" ht="12.75">
      <c r="A65" s="34" t="s">
        <v>342</v>
      </c>
      <c r="B65" s="35" t="s">
        <v>343</v>
      </c>
      <c r="C65" s="36">
        <v>650</v>
      </c>
      <c r="D65" s="36">
        <v>0.3</v>
      </c>
      <c r="E65" s="36" t="s">
        <v>344</v>
      </c>
      <c r="F65" s="36" t="s">
        <v>344</v>
      </c>
      <c r="G65" s="36">
        <v>100</v>
      </c>
      <c r="H65" s="36">
        <v>38</v>
      </c>
      <c r="I65" s="36" t="s">
        <v>153</v>
      </c>
      <c r="J65" s="36" t="s">
        <v>303</v>
      </c>
      <c r="K65" s="36" t="s">
        <v>303</v>
      </c>
      <c r="L65" s="36" t="s">
        <v>153</v>
      </c>
      <c r="M65" s="36" t="s">
        <v>154</v>
      </c>
      <c r="N65" s="36" t="s">
        <v>337</v>
      </c>
      <c r="O65" s="41" t="s">
        <v>345</v>
      </c>
      <c r="P65" s="295"/>
      <c r="Q65" s="267"/>
      <c r="R65" s="298"/>
    </row>
    <row r="66" spans="1:18" s="88" customFormat="1" ht="12.75">
      <c r="A66" s="89" t="s">
        <v>346</v>
      </c>
      <c r="B66" s="90"/>
      <c r="C66" s="91">
        <v>700</v>
      </c>
      <c r="D66" s="91">
        <v>0.3</v>
      </c>
      <c r="E66" s="91" t="s">
        <v>172</v>
      </c>
      <c r="F66" s="91" t="s">
        <v>347</v>
      </c>
      <c r="G66" s="91">
        <v>134</v>
      </c>
      <c r="H66" s="91">
        <v>32</v>
      </c>
      <c r="I66" s="91" t="s">
        <v>153</v>
      </c>
      <c r="J66" s="91" t="s">
        <v>154</v>
      </c>
      <c r="K66" s="91" t="s">
        <v>154</v>
      </c>
      <c r="L66" s="91" t="s">
        <v>153</v>
      </c>
      <c r="M66" s="91" t="s">
        <v>156</v>
      </c>
      <c r="N66" s="91" t="s">
        <v>348</v>
      </c>
      <c r="O66" s="108" t="s">
        <v>173</v>
      </c>
      <c r="P66" s="294" t="s">
        <v>252</v>
      </c>
      <c r="Q66" s="117"/>
      <c r="R66" s="297" t="s">
        <v>340</v>
      </c>
    </row>
    <row r="67" spans="1:18" s="88" customFormat="1" ht="13.5" customHeight="1">
      <c r="A67" s="110" t="s">
        <v>349</v>
      </c>
      <c r="B67" s="111"/>
      <c r="C67" s="112">
        <v>700</v>
      </c>
      <c r="D67" s="112">
        <v>0.3</v>
      </c>
      <c r="E67" s="112" t="s">
        <v>172</v>
      </c>
      <c r="F67" s="112" t="s">
        <v>347</v>
      </c>
      <c r="G67" s="112">
        <v>134</v>
      </c>
      <c r="H67" s="112">
        <v>32</v>
      </c>
      <c r="I67" s="112" t="s">
        <v>274</v>
      </c>
      <c r="J67" s="112" t="s">
        <v>154</v>
      </c>
      <c r="K67" s="112" t="s">
        <v>154</v>
      </c>
      <c r="L67" s="112" t="s">
        <v>274</v>
      </c>
      <c r="M67" s="112" t="s">
        <v>325</v>
      </c>
      <c r="N67" s="112" t="s">
        <v>348</v>
      </c>
      <c r="O67" s="114" t="s">
        <v>173</v>
      </c>
      <c r="P67" s="295"/>
      <c r="Q67" s="119"/>
      <c r="R67" s="298"/>
    </row>
    <row r="68" spans="1:18" s="88" customFormat="1" ht="13.5" customHeight="1">
      <c r="A68" s="82" t="s">
        <v>335</v>
      </c>
      <c r="B68" s="116"/>
      <c r="C68" s="83">
        <v>650</v>
      </c>
      <c r="D68" s="83">
        <v>0.48</v>
      </c>
      <c r="E68" s="83" t="s">
        <v>171</v>
      </c>
      <c r="F68" s="83" t="s">
        <v>171</v>
      </c>
      <c r="G68" s="83">
        <v>70</v>
      </c>
      <c r="H68" s="83">
        <v>19</v>
      </c>
      <c r="I68" s="83" t="s">
        <v>274</v>
      </c>
      <c r="J68" s="83" t="s">
        <v>303</v>
      </c>
      <c r="K68" s="83" t="s">
        <v>274</v>
      </c>
      <c r="L68" s="83" t="s">
        <v>274</v>
      </c>
      <c r="M68" s="83" t="s">
        <v>325</v>
      </c>
      <c r="N68" s="83" t="s">
        <v>250</v>
      </c>
      <c r="O68" s="86" t="s">
        <v>350</v>
      </c>
      <c r="P68" s="292" t="s">
        <v>351</v>
      </c>
      <c r="Q68" s="120"/>
      <c r="R68" s="290" t="s">
        <v>352</v>
      </c>
    </row>
    <row r="69" spans="1:18" s="99" customFormat="1" ht="13.5" customHeight="1">
      <c r="A69" s="124" t="s">
        <v>353</v>
      </c>
      <c r="B69" s="125"/>
      <c r="C69" s="126">
        <v>650</v>
      </c>
      <c r="D69" s="126">
        <v>1.2</v>
      </c>
      <c r="E69" s="126">
        <v>15</v>
      </c>
      <c r="F69" s="126">
        <v>17</v>
      </c>
      <c r="G69" s="126">
        <v>50</v>
      </c>
      <c r="H69" s="126">
        <v>10</v>
      </c>
      <c r="I69" s="126" t="s">
        <v>153</v>
      </c>
      <c r="J69" s="126" t="s">
        <v>274</v>
      </c>
      <c r="K69" s="126" t="s">
        <v>153</v>
      </c>
      <c r="L69" s="126" t="s">
        <v>153</v>
      </c>
      <c r="M69" s="126" t="s">
        <v>156</v>
      </c>
      <c r="N69" s="126" t="s">
        <v>250</v>
      </c>
      <c r="O69" s="129"/>
      <c r="P69" s="293"/>
      <c r="Q69" s="130"/>
      <c r="R69" s="291"/>
    </row>
    <row r="70" spans="1:18" s="99" customFormat="1" ht="12.75">
      <c r="A70" s="134" t="s">
        <v>354</v>
      </c>
      <c r="B70" s="135"/>
      <c r="C70" s="136">
        <v>700</v>
      </c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 t="s">
        <v>355</v>
      </c>
      <c r="O70" s="137"/>
      <c r="P70" s="136" t="s">
        <v>356</v>
      </c>
      <c r="Q70" s="138"/>
      <c r="R70" s="139" t="s">
        <v>340</v>
      </c>
    </row>
    <row r="71" spans="1:18" s="99" customFormat="1" ht="12.75">
      <c r="A71" s="95" t="s">
        <v>357</v>
      </c>
      <c r="B71" s="74"/>
      <c r="C71" s="96">
        <v>650</v>
      </c>
      <c r="D71" s="97">
        <v>1.2</v>
      </c>
      <c r="E71" s="96">
        <v>15</v>
      </c>
      <c r="F71" s="96">
        <v>17</v>
      </c>
      <c r="G71" s="96">
        <v>50</v>
      </c>
      <c r="H71" s="97">
        <v>10</v>
      </c>
      <c r="I71" s="96" t="s">
        <v>274</v>
      </c>
      <c r="J71" s="96" t="s">
        <v>153</v>
      </c>
      <c r="K71" s="96" t="s">
        <v>274</v>
      </c>
      <c r="L71" s="96" t="s">
        <v>274</v>
      </c>
      <c r="M71" s="96" t="s">
        <v>325</v>
      </c>
      <c r="N71" s="96" t="s">
        <v>358</v>
      </c>
      <c r="O71" s="140"/>
      <c r="P71" s="304" t="s">
        <v>359</v>
      </c>
      <c r="Q71" s="141"/>
      <c r="R71" s="133"/>
    </row>
    <row r="72" spans="1:18" s="99" customFormat="1" ht="13.5" customHeight="1">
      <c r="A72" s="95" t="s">
        <v>286</v>
      </c>
      <c r="B72" s="74"/>
      <c r="C72" s="96">
        <v>650</v>
      </c>
      <c r="D72" s="96">
        <v>1.5</v>
      </c>
      <c r="E72" s="96">
        <v>20</v>
      </c>
      <c r="F72" s="96">
        <v>23</v>
      </c>
      <c r="G72" s="96" t="s">
        <v>221</v>
      </c>
      <c r="H72" s="97">
        <v>6</v>
      </c>
      <c r="I72" s="96" t="s">
        <v>274</v>
      </c>
      <c r="J72" s="96" t="s">
        <v>153</v>
      </c>
      <c r="K72" s="96" t="s">
        <v>274</v>
      </c>
      <c r="L72" s="96" t="s">
        <v>274</v>
      </c>
      <c r="M72" s="96" t="s">
        <v>325</v>
      </c>
      <c r="N72" s="96" t="s">
        <v>250</v>
      </c>
      <c r="O72" s="140"/>
      <c r="P72" s="292"/>
      <c r="Q72" s="141"/>
      <c r="R72" s="133"/>
    </row>
    <row r="73" spans="1:18" s="99" customFormat="1" ht="13.5" customHeight="1">
      <c r="A73" s="124" t="s">
        <v>289</v>
      </c>
      <c r="B73" s="125"/>
      <c r="C73" s="126">
        <v>650</v>
      </c>
      <c r="D73" s="126">
        <v>2.15</v>
      </c>
      <c r="E73" s="126">
        <v>25</v>
      </c>
      <c r="F73" s="126">
        <v>30</v>
      </c>
      <c r="G73" s="126" t="s">
        <v>216</v>
      </c>
      <c r="H73" s="126">
        <v>4.5</v>
      </c>
      <c r="I73" s="126" t="s">
        <v>274</v>
      </c>
      <c r="J73" s="126" t="s">
        <v>274</v>
      </c>
      <c r="K73" s="126" t="s">
        <v>274</v>
      </c>
      <c r="L73" s="126" t="s">
        <v>274</v>
      </c>
      <c r="M73" s="126" t="s">
        <v>325</v>
      </c>
      <c r="N73" s="126" t="s">
        <v>250</v>
      </c>
      <c r="O73" s="129"/>
      <c r="P73" s="293"/>
      <c r="Q73" s="130"/>
      <c r="R73" s="131"/>
    </row>
    <row r="74" spans="1:18" s="99" customFormat="1" ht="12.75">
      <c r="A74" s="142" t="s">
        <v>264</v>
      </c>
      <c r="B74" s="76"/>
      <c r="C74" s="101">
        <v>650</v>
      </c>
      <c r="D74" s="143">
        <v>2.3</v>
      </c>
      <c r="E74" s="101">
        <v>60</v>
      </c>
      <c r="F74" s="101">
        <v>70</v>
      </c>
      <c r="G74" s="101">
        <v>66</v>
      </c>
      <c r="H74" s="101">
        <v>2.2</v>
      </c>
      <c r="I74" s="101" t="s">
        <v>153</v>
      </c>
      <c r="J74" s="101" t="s">
        <v>153</v>
      </c>
      <c r="K74" s="101" t="s">
        <v>153</v>
      </c>
      <c r="L74" s="101" t="s">
        <v>155</v>
      </c>
      <c r="M74" s="101" t="s">
        <v>156</v>
      </c>
      <c r="N74" s="101" t="s">
        <v>360</v>
      </c>
      <c r="O74" s="144"/>
      <c r="P74" s="304" t="s">
        <v>315</v>
      </c>
      <c r="Q74" s="145"/>
      <c r="R74" s="296"/>
    </row>
    <row r="75" spans="1:18" s="88" customFormat="1" ht="13.5" customHeight="1">
      <c r="A75" s="82" t="s">
        <v>314</v>
      </c>
      <c r="B75" s="116"/>
      <c r="C75" s="83">
        <v>650</v>
      </c>
      <c r="D75" s="85">
        <v>2.5</v>
      </c>
      <c r="E75" s="83">
        <v>75</v>
      </c>
      <c r="F75" s="83">
        <v>85</v>
      </c>
      <c r="G75" s="83">
        <v>66</v>
      </c>
      <c r="H75" s="83">
        <v>1.6</v>
      </c>
      <c r="I75" s="83" t="s">
        <v>274</v>
      </c>
      <c r="J75" s="83" t="s">
        <v>274</v>
      </c>
      <c r="K75" s="83" t="s">
        <v>274</v>
      </c>
      <c r="L75" s="83" t="s">
        <v>302</v>
      </c>
      <c r="M75" s="83" t="s">
        <v>325</v>
      </c>
      <c r="N75" s="83" t="s">
        <v>360</v>
      </c>
      <c r="O75" s="86"/>
      <c r="P75" s="292"/>
      <c r="Q75" s="120"/>
      <c r="R75" s="290"/>
    </row>
    <row r="76" spans="1:18" s="99" customFormat="1" ht="13.5" customHeight="1">
      <c r="A76" s="142" t="s">
        <v>308</v>
      </c>
      <c r="B76" s="76"/>
      <c r="C76" s="101">
        <v>650</v>
      </c>
      <c r="D76" s="143"/>
      <c r="E76" s="101"/>
      <c r="F76" s="101"/>
      <c r="G76" s="101"/>
      <c r="H76" s="101"/>
      <c r="I76" s="101"/>
      <c r="J76" s="101"/>
      <c r="K76" s="101"/>
      <c r="L76" s="101"/>
      <c r="M76" s="101"/>
      <c r="N76" s="101" t="s">
        <v>304</v>
      </c>
      <c r="O76" s="144"/>
      <c r="P76" s="304" t="s">
        <v>361</v>
      </c>
      <c r="Q76" s="145"/>
      <c r="R76" s="146"/>
    </row>
    <row r="77" spans="1:18" s="99" customFormat="1" ht="13.5" customHeight="1">
      <c r="A77" s="95" t="s">
        <v>362</v>
      </c>
      <c r="B77" s="74"/>
      <c r="C77" s="96">
        <v>650</v>
      </c>
      <c r="D77" s="97"/>
      <c r="E77" s="96"/>
      <c r="F77" s="96"/>
      <c r="G77" s="96"/>
      <c r="H77" s="96"/>
      <c r="I77" s="96"/>
      <c r="J77" s="96"/>
      <c r="K77" s="96"/>
      <c r="L77" s="96"/>
      <c r="M77" s="96"/>
      <c r="N77" s="96" t="s">
        <v>304</v>
      </c>
      <c r="O77" s="140"/>
      <c r="P77" s="292"/>
      <c r="Q77" s="141"/>
      <c r="R77" s="133"/>
    </row>
    <row r="78" spans="1:18" s="99" customFormat="1" ht="13.5" customHeight="1">
      <c r="A78" s="95" t="s">
        <v>363</v>
      </c>
      <c r="B78" s="74"/>
      <c r="C78" s="96">
        <v>650</v>
      </c>
      <c r="D78" s="97"/>
      <c r="E78" s="96"/>
      <c r="F78" s="96"/>
      <c r="G78" s="96"/>
      <c r="H78" s="96"/>
      <c r="I78" s="96"/>
      <c r="J78" s="96"/>
      <c r="K78" s="96"/>
      <c r="L78" s="96"/>
      <c r="M78" s="96"/>
      <c r="N78" s="96" t="s">
        <v>364</v>
      </c>
      <c r="O78" s="140"/>
      <c r="P78" s="292"/>
      <c r="Q78" s="141"/>
      <c r="R78" s="133"/>
    </row>
    <row r="79" spans="1:18" s="99" customFormat="1" ht="13.5" customHeight="1">
      <c r="A79" s="124" t="s">
        <v>365</v>
      </c>
      <c r="B79" s="125"/>
      <c r="C79" s="126">
        <v>650</v>
      </c>
      <c r="D79" s="127"/>
      <c r="E79" s="126"/>
      <c r="F79" s="126"/>
      <c r="G79" s="126"/>
      <c r="H79" s="126"/>
      <c r="I79" s="126"/>
      <c r="J79" s="126"/>
      <c r="K79" s="126"/>
      <c r="L79" s="126"/>
      <c r="M79" s="126"/>
      <c r="N79" s="126" t="s">
        <v>364</v>
      </c>
      <c r="O79" s="129"/>
      <c r="P79" s="293"/>
      <c r="Q79" s="130"/>
      <c r="R79" s="131"/>
    </row>
    <row r="80" spans="1:16" s="115" customFormat="1" ht="12.75">
      <c r="A80" s="147"/>
      <c r="B80" s="148"/>
      <c r="C80" s="149"/>
      <c r="D80" s="150"/>
      <c r="E80" s="149"/>
      <c r="F80" s="149"/>
      <c r="G80" s="149"/>
      <c r="H80" s="149"/>
      <c r="I80" s="151" t="s">
        <v>366</v>
      </c>
      <c r="J80" s="149"/>
      <c r="K80" s="149"/>
      <c r="L80" s="149"/>
      <c r="M80" s="149"/>
      <c r="N80" s="149"/>
      <c r="O80" s="152"/>
      <c r="P80" s="152"/>
    </row>
    <row r="81" spans="1:16" s="9" customFormat="1" ht="12.75">
      <c r="A81" s="153" t="s">
        <v>174</v>
      </c>
      <c r="B81" s="154"/>
      <c r="C81" s="155"/>
      <c r="D81" s="155"/>
      <c r="E81" s="155"/>
      <c r="F81" s="155"/>
      <c r="G81" s="155"/>
      <c r="H81" s="155"/>
      <c r="I81" s="155"/>
      <c r="J81" s="155"/>
      <c r="K81" s="155"/>
      <c r="L81" s="155"/>
      <c r="M81" s="155"/>
      <c r="N81" s="152"/>
      <c r="O81" s="152"/>
      <c r="P81" s="155"/>
    </row>
    <row r="82" spans="1:15" s="88" customFormat="1" ht="12.75">
      <c r="A82" s="156" t="s">
        <v>367</v>
      </c>
      <c r="B82" s="157"/>
      <c r="C82" s="158"/>
      <c r="D82" s="158"/>
      <c r="E82" s="158"/>
      <c r="F82" s="158"/>
      <c r="G82" s="158"/>
      <c r="H82" s="158"/>
      <c r="N82" s="159"/>
      <c r="O82" s="159"/>
    </row>
    <row r="83" spans="1:15" s="88" customFormat="1" ht="12.75">
      <c r="A83" s="160" t="s">
        <v>368</v>
      </c>
      <c r="B83" s="161" t="s">
        <v>369</v>
      </c>
      <c r="C83" s="162"/>
      <c r="D83" s="162"/>
      <c r="E83" s="162"/>
      <c r="F83" s="162"/>
      <c r="G83" s="162"/>
      <c r="H83" s="162"/>
      <c r="N83" s="159"/>
      <c r="O83" s="159"/>
    </row>
    <row r="84" spans="1:15" s="88" customFormat="1" ht="12.75">
      <c r="A84" s="163" t="s">
        <v>370</v>
      </c>
      <c r="B84" s="164" t="s">
        <v>371</v>
      </c>
      <c r="C84" s="165"/>
      <c r="D84" s="165"/>
      <c r="E84" s="165"/>
      <c r="F84" s="165"/>
      <c r="G84" s="165"/>
      <c r="H84" s="165"/>
      <c r="N84" s="159"/>
      <c r="O84" s="159"/>
    </row>
    <row r="85" spans="1:15" s="15" customFormat="1" ht="14.25">
      <c r="A85" s="166" t="s">
        <v>372</v>
      </c>
      <c r="B85" s="167"/>
      <c r="N85" s="168"/>
      <c r="O85" s="168"/>
    </row>
    <row r="86" spans="1:15" s="15" customFormat="1" ht="14.25">
      <c r="A86" s="169" t="s">
        <v>373</v>
      </c>
      <c r="B86" s="170"/>
      <c r="N86" s="168"/>
      <c r="O86" s="168"/>
    </row>
    <row r="87" spans="1:15" s="15" customFormat="1" ht="14.25">
      <c r="A87" s="171"/>
      <c r="B87" s="170"/>
      <c r="N87" s="168"/>
      <c r="O87" s="168"/>
    </row>
    <row r="88" spans="1:15" s="15" customFormat="1" ht="14.25">
      <c r="A88" s="171"/>
      <c r="B88" s="170"/>
      <c r="N88" s="168"/>
      <c r="O88" s="168"/>
    </row>
    <row r="89" spans="1:15" s="15" customFormat="1" ht="14.25">
      <c r="A89" s="171"/>
      <c r="B89" s="170"/>
      <c r="N89" s="168"/>
      <c r="O89" s="168"/>
    </row>
    <row r="90" spans="1:15" s="15" customFormat="1" ht="14.25">
      <c r="A90" s="171"/>
      <c r="B90" s="170"/>
      <c r="N90" s="168"/>
      <c r="O90" s="168"/>
    </row>
    <row r="91" spans="1:15" s="15" customFormat="1" ht="14.25">
      <c r="A91" s="171"/>
      <c r="B91" s="170"/>
      <c r="N91" s="168"/>
      <c r="O91" s="168"/>
    </row>
    <row r="92" spans="1:15" s="15" customFormat="1" ht="14.25">
      <c r="A92" s="171"/>
      <c r="B92" s="170"/>
      <c r="N92" s="168"/>
      <c r="O92" s="168"/>
    </row>
    <row r="93" spans="1:15" s="15" customFormat="1" ht="14.25">
      <c r="A93" s="171"/>
      <c r="B93" s="170"/>
      <c r="N93" s="168"/>
      <c r="O93" s="168"/>
    </row>
    <row r="94" spans="1:15" s="15" customFormat="1" ht="14.25">
      <c r="A94" s="171"/>
      <c r="B94" s="170"/>
      <c r="N94" s="168"/>
      <c r="O94" s="168"/>
    </row>
    <row r="95" spans="1:15" s="15" customFormat="1" ht="14.25">
      <c r="A95" s="171"/>
      <c r="B95" s="170"/>
      <c r="N95" s="168"/>
      <c r="O95" s="168"/>
    </row>
    <row r="96" spans="1:15" s="15" customFormat="1" ht="14.25">
      <c r="A96" s="171"/>
      <c r="B96" s="170"/>
      <c r="N96" s="168"/>
      <c r="O96" s="168"/>
    </row>
  </sheetData>
  <mergeCells count="80">
    <mergeCell ref="P76:P79"/>
    <mergeCell ref="P51:P56"/>
    <mergeCell ref="Q41:Q47"/>
    <mergeCell ref="P28:P29"/>
    <mergeCell ref="Q35:Q36"/>
    <mergeCell ref="P60:P61"/>
    <mergeCell ref="P74:P75"/>
    <mergeCell ref="O7:O9"/>
    <mergeCell ref="P7:P9"/>
    <mergeCell ref="O10:O11"/>
    <mergeCell ref="P16:P17"/>
    <mergeCell ref="P21:P22"/>
    <mergeCell ref="Q49:Q50"/>
    <mergeCell ref="Q51:Q56"/>
    <mergeCell ref="R35:R36"/>
    <mergeCell ref="R51:R56"/>
    <mergeCell ref="R41:R47"/>
    <mergeCell ref="R49:R50"/>
    <mergeCell ref="Q37:Q40"/>
    <mergeCell ref="P30:P32"/>
    <mergeCell ref="P33:P34"/>
    <mergeCell ref="Q7:Q11"/>
    <mergeCell ref="Q31:Q34"/>
    <mergeCell ref="Q28:Q30"/>
    <mergeCell ref="Q18:Q20"/>
    <mergeCell ref="Q13:Q14"/>
    <mergeCell ref="Q16:Q17"/>
    <mergeCell ref="Q21:Q22"/>
    <mergeCell ref="Q24:Q25"/>
    <mergeCell ref="O49:O50"/>
    <mergeCell ref="P41:P47"/>
    <mergeCell ref="P37:P40"/>
    <mergeCell ref="P35:P36"/>
    <mergeCell ref="P49:P50"/>
    <mergeCell ref="O35:O36"/>
    <mergeCell ref="A48:D48"/>
    <mergeCell ref="O30:O32"/>
    <mergeCell ref="A15:D15"/>
    <mergeCell ref="A23:D23"/>
    <mergeCell ref="A27:D27"/>
    <mergeCell ref="O21:O22"/>
    <mergeCell ref="O28:O29"/>
    <mergeCell ref="T1:T3"/>
    <mergeCell ref="P1:P3"/>
    <mergeCell ref="O1:O3"/>
    <mergeCell ref="O13:O14"/>
    <mergeCell ref="S1:S3"/>
    <mergeCell ref="Q1:Q3"/>
    <mergeCell ref="P10:P11"/>
    <mergeCell ref="P13:P14"/>
    <mergeCell ref="R1:R3"/>
    <mergeCell ref="Q5:Q6"/>
    <mergeCell ref="M1:M3"/>
    <mergeCell ref="N1:N3"/>
    <mergeCell ref="I1:L1"/>
    <mergeCell ref="I2:I3"/>
    <mergeCell ref="L2:L3"/>
    <mergeCell ref="J2:J3"/>
    <mergeCell ref="K2:K3"/>
    <mergeCell ref="A1:A3"/>
    <mergeCell ref="C1:H1"/>
    <mergeCell ref="H2:H3"/>
    <mergeCell ref="D2:D3"/>
    <mergeCell ref="G2:G3"/>
    <mergeCell ref="E2:F2"/>
    <mergeCell ref="C2:C3"/>
    <mergeCell ref="B1:B3"/>
    <mergeCell ref="A62:D62"/>
    <mergeCell ref="P63:P65"/>
    <mergeCell ref="P71:P73"/>
    <mergeCell ref="Q63:Q65"/>
    <mergeCell ref="R57:R58"/>
    <mergeCell ref="Q57:Q58"/>
    <mergeCell ref="P57:P58"/>
    <mergeCell ref="R66:R67"/>
    <mergeCell ref="R63:R65"/>
    <mergeCell ref="R68:R69"/>
    <mergeCell ref="P68:P69"/>
    <mergeCell ref="P66:P67"/>
    <mergeCell ref="R74:R75"/>
  </mergeCells>
  <printOptions/>
  <pageMargins left="0.17" right="0.17" top="0.22" bottom="0.2" header="0.5" footer="0.5"/>
  <pageSetup fitToHeight="1" fitToWidth="1" horizontalDpi="1200" verticalDpi="12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FtpDown</cp:lastModifiedBy>
  <cp:lastPrinted>2003-08-29T09:25:29Z</cp:lastPrinted>
  <dcterms:created xsi:type="dcterms:W3CDTF">1997-01-10T04:21:27Z</dcterms:created>
  <dcterms:modified xsi:type="dcterms:W3CDTF">2008-09-10T14:41:02Z</dcterms:modified>
  <cp:category/>
  <cp:version/>
  <cp:contentType/>
  <cp:contentStatus/>
</cp:coreProperties>
</file>