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自己设计" sheetId="1" r:id="rId1"/>
    <sheet name="草稿" sheetId="2" r:id="rId2"/>
    <sheet name="参考资料" sheetId="3" r:id="rId3"/>
    <sheet name="www.dianyuan.com" sheetId="4" r:id="rId4"/>
    <sheet name="ABCCBA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12"/>
            <color indexed="57"/>
            <rFont val="宋体"/>
            <family val="0"/>
          </rPr>
          <t>按最大值确定</t>
        </r>
      </text>
    </comment>
    <comment ref="B6" authorId="0">
      <text>
        <r>
          <rPr>
            <b/>
            <sz val="12"/>
            <color indexed="57"/>
            <rFont val="宋体"/>
            <family val="0"/>
          </rPr>
          <t>按最大值确定</t>
        </r>
      </text>
    </comment>
    <comment ref="B8" authorId="0">
      <text>
        <r>
          <rPr>
            <b/>
            <sz val="12"/>
            <color indexed="57"/>
            <rFont val="宋体"/>
            <family val="0"/>
          </rPr>
          <t>确定参数时
按顺序兼顾以下参数：
1、Lmin
2、Ct
3、开关效率</t>
        </r>
      </text>
    </comment>
    <comment ref="B5" authorId="0">
      <text>
        <r>
          <rPr>
            <b/>
            <sz val="12"/>
            <color indexed="57"/>
            <rFont val="宋体"/>
            <family val="0"/>
          </rPr>
          <t>如果是可调输出电压，按最小值确定</t>
        </r>
      </text>
    </comment>
    <comment ref="B11" authorId="0">
      <text>
        <r>
          <rPr>
            <b/>
            <sz val="12"/>
            <color indexed="57"/>
            <rFont val="宋体"/>
            <family val="0"/>
          </rPr>
          <t>此参数为选择开关管的依据</t>
        </r>
      </text>
    </comment>
    <comment ref="B51" authorId="0">
      <text>
        <r>
          <rPr>
            <b/>
            <sz val="12"/>
            <color indexed="57"/>
            <rFont val="宋体"/>
            <family val="0"/>
          </rPr>
          <t>按最大值确定</t>
        </r>
      </text>
    </comment>
    <comment ref="B52" authorId="0">
      <text>
        <r>
          <rPr>
            <b/>
            <sz val="12"/>
            <color indexed="57"/>
            <rFont val="宋体"/>
            <family val="0"/>
          </rPr>
          <t>如果是可调输出电压，按最小值确定</t>
        </r>
      </text>
    </comment>
  </commentList>
</comments>
</file>

<file path=xl/sharedStrings.xml><?xml version="1.0" encoding="utf-8"?>
<sst xmlns="http://schemas.openxmlformats.org/spreadsheetml/2006/main" count="173" uniqueCount="141">
  <si>
    <t>输入电压</t>
  </si>
  <si>
    <t>V</t>
  </si>
  <si>
    <t>输出电压</t>
  </si>
  <si>
    <t>kHz</t>
  </si>
  <si>
    <t>R1=13k R2=91k (10V)</t>
  </si>
  <si>
    <t>参数名称</t>
  </si>
  <si>
    <t>符号</t>
  </si>
  <si>
    <t>单位</t>
  </si>
  <si>
    <t>MC34063（美国Motorola公司）</t>
  </si>
  <si>
    <t>ＣＷ34063（国产）</t>
  </si>
  <si>
    <t>IRM03A（日本夏普公司）</t>
  </si>
  <si>
    <t>Vin</t>
  </si>
  <si>
    <t>2.5～40V</t>
  </si>
  <si>
    <t>Vout</t>
  </si>
  <si>
    <t>1.25～40V</t>
  </si>
  <si>
    <t>最大输出电流</t>
  </si>
  <si>
    <t>Iomax</t>
  </si>
  <si>
    <t>A</t>
  </si>
  <si>
    <t>1.5A</t>
  </si>
  <si>
    <t>1.8A</t>
  </si>
  <si>
    <t>最高工作频率</t>
  </si>
  <si>
    <t>f</t>
  </si>
  <si>
    <t>0.1～100KHZ</t>
  </si>
  <si>
    <t>功率</t>
  </si>
  <si>
    <t>P</t>
  </si>
  <si>
    <t>W</t>
  </si>
  <si>
    <t>1.25W</t>
  </si>
  <si>
    <t>0.9W</t>
  </si>
  <si>
    <t>工作温度</t>
  </si>
  <si>
    <t>Ta</t>
  </si>
  <si>
    <t>度</t>
  </si>
  <si>
    <t>0～70度</t>
  </si>
  <si>
    <t>外围元件标称含义和它们取值的计算公式：</t>
  </si>
  <si>
    <r>
      <t>Vout</t>
    </r>
    <r>
      <rPr>
        <sz val="10"/>
        <rFont val="Tahoma"/>
        <family val="2"/>
      </rPr>
      <t>(输出电压)＝1.25V（１＋R1／R2）</t>
    </r>
  </si>
  <si>
    <r>
      <t>Ct</t>
    </r>
    <r>
      <rPr>
        <sz val="10"/>
        <color indexed="8"/>
        <rFont val="Tahoma"/>
        <family val="2"/>
      </rPr>
      <t>(</t>
    </r>
    <r>
      <rPr>
        <sz val="10"/>
        <rFont val="Tahoma"/>
        <family val="2"/>
      </rPr>
      <t>定时电容</t>
    </r>
    <r>
      <rPr>
        <sz val="10"/>
        <color indexed="8"/>
        <rFont val="Tahoma"/>
        <family val="2"/>
      </rPr>
      <t>)</t>
    </r>
    <r>
      <rPr>
        <sz val="10"/>
        <rFont val="Tahoma"/>
        <family val="2"/>
      </rPr>
      <t>：决定内部工作频率。Ct=0.000 004*Ton(工作频率）</t>
    </r>
  </si>
  <si>
    <r>
      <t>Ipk</t>
    </r>
    <r>
      <rPr>
        <sz val="10"/>
        <rFont val="Tahoma"/>
        <family val="2"/>
      </rPr>
      <t>=2*Iomax*T/toff</t>
    </r>
  </si>
  <si>
    <r>
      <t>Rsc</t>
    </r>
    <r>
      <rPr>
        <sz val="10"/>
        <color indexed="8"/>
        <rFont val="Tahoma"/>
        <family val="2"/>
      </rPr>
      <t>(</t>
    </r>
    <r>
      <rPr>
        <sz val="10"/>
        <rFont val="Tahoma"/>
        <family val="2"/>
      </rPr>
      <t>限流电阻)：决定输出电流。Rsc＝0.33／Ipk</t>
    </r>
  </si>
  <si>
    <r>
      <t>Lmin</t>
    </r>
    <r>
      <rPr>
        <sz val="10"/>
        <color indexed="8"/>
        <rFont val="Tahoma"/>
        <family val="2"/>
      </rPr>
      <t>(</t>
    </r>
    <r>
      <rPr>
        <sz val="10"/>
        <rFont val="Tahoma"/>
        <family val="2"/>
      </rPr>
      <t>电感)：Lmin＝(Vimin－Vces)*Ton/ Ipk</t>
    </r>
  </si>
  <si>
    <r>
      <t>Co</t>
    </r>
    <r>
      <rPr>
        <sz val="10"/>
        <rFont val="Tahoma"/>
        <family val="2"/>
      </rPr>
      <t>(滤波电容)：决定输出电压波纹系数，Co＝Io*ton/Vp-p(波纹系数）</t>
    </r>
  </si>
  <si>
    <t>固定值参数：</t>
  </si>
  <si>
    <t>Vces=1.0V　　ton/toff=(Vo+Vf－Vimin)/(Vimin－Vces）　　Vimin:输入电压不稳定时的最小值　　</t>
  </si>
  <si>
    <t>Vf=1.2V 快速开关二极管正向压降</t>
  </si>
  <si>
    <t>在实际应用中的注意：</t>
  </si>
  <si>
    <t>1：快速开关二极管可以选用IN4148，在要求高效率的场合必须使用IN5819！</t>
  </si>
  <si>
    <t>2：34063能承受的电压，即输入输出电压绝对值之和不能超过40V，否则不能安全稳定的工作。</t>
  </si>
  <si>
    <t>Ct</t>
  </si>
  <si>
    <t>PF</t>
  </si>
  <si>
    <t>Rsc</t>
  </si>
  <si>
    <t>Lmin</t>
  </si>
  <si>
    <t>mA</t>
  </si>
  <si>
    <t>uH</t>
  </si>
  <si>
    <t>Ipk</t>
  </si>
  <si>
    <t>ton(S)</t>
  </si>
  <si>
    <t>toff(S)</t>
  </si>
  <si>
    <t>Ct=0.00004*Ton</t>
  </si>
  <si>
    <t>Ipk=2*Iomax</t>
  </si>
  <si>
    <t>VIpk(sense)/Ipk</t>
  </si>
  <si>
    <t>Ct=429 pF</t>
  </si>
  <si>
    <r>
      <t>输出电压</t>
    </r>
    <r>
      <rPr>
        <sz val="11"/>
        <rFont val="Tahoma"/>
        <family val="2"/>
      </rPr>
      <t xml:space="preserve"> V</t>
    </r>
  </si>
  <si>
    <t>Co</t>
  </si>
  <si>
    <t>占空比ton/(toff+ton)</t>
  </si>
  <si>
    <t>Ipk*(toff+ton)/8/Vrip</t>
  </si>
  <si>
    <t>Ipk=2000 mA</t>
  </si>
  <si>
    <t>Rsc=0.15 Ohm</t>
  </si>
  <si>
    <t>Lmin=48 uH</t>
  </si>
  <si>
    <t>Co=50 uF</t>
  </si>
  <si>
    <t>R1</t>
  </si>
  <si>
    <t xml:space="preserve"> 34063工作时Ton和Toff是固定,即固定频率工作.它们由34063内部恒流源对Ct充放电流决定,由参数表数据可知：
OSC充电电流Ichg=31uA(典型);
放电电流Idischg=190uA(典型);
Ct振荡幅值Vosc=0.5V,
可以估算出：
Ton=(0.5V/31uA)·Ct=1.61E4·Ct;
Toff=(0.5V/190uA)·Ct=2.63E3·Ct;
也可以估算出工作占空比Dw=0.86. 
  来自输出电压反馈的5脚,并不控制直接控制34063工作占空比,而是控制间歇时间来调整电源的传输功率和输出电压,间歇频率通常低于电源的开关频率,并取决于负载大小,满负荷可能不间歇,空载时1秒内可能只有很短的时间开关电源在工作.
　但只要34063工作,Ton、Toff、T都是固定不变的,除非出现下面要说的限流情况. 
  7脚的电流检测,是为保护电源开关管(包括外接情况的外接管)和防止电感饱和而设置的,在每个开关周期内检测瞬时电流.虽然是检测电流,但需要输入电压信号Vsense,典型阈值为0.3V.Rsc阻值和阈值电压决定最大开关电流. 
  7脚所监测的通常是给储能电感L充电的三角波或梯形波,该电流随时间而增大.当7脚电压低于阈值时,完全不影响整个电源的工作;一旦大于0.3V时,34063内部电路立刻加大对Ct充电的电流,使本周期的Ton尽快结束,而进入Toff阶段.看上去这一周期的占空比是变化了,但这一变化并不是由输出反馈电压控制的,所以不能理解为占空比控制. 
  限流是非正常工况,限流可能会使输出性能变坏,电源设计时应尽量避免. </t>
  </si>
  <si>
    <t xml:space="preserve"> V</t>
  </si>
  <si>
    <t>mA</t>
  </si>
  <si>
    <t>mV(pp)</t>
  </si>
  <si>
    <t>Ω</t>
  </si>
  <si>
    <t>uF</t>
  </si>
  <si>
    <t>KΩ</t>
  </si>
  <si>
    <t>R2</t>
  </si>
  <si>
    <t>sn</t>
  </si>
  <si>
    <t>000000</t>
  </si>
  <si>
    <t>周期(toff+ton) (S)</t>
  </si>
  <si>
    <t>ton/toff</t>
  </si>
  <si>
    <t>ton/toff=(Vo+Vf)/(Vimin－Vces-Vout）</t>
  </si>
  <si>
    <t>1/(1/k+1)</t>
  </si>
  <si>
    <t>Lmin＝(Vimin－Vces-Vout)*Ton/ Ipk</t>
  </si>
  <si>
    <t>←输入参数</t>
  </si>
  <si>
    <r>
      <t>输入电压</t>
    </r>
    <r>
      <rPr>
        <sz val="11"/>
        <rFont val="Tahoma"/>
        <family val="2"/>
      </rPr>
      <t xml:space="preserve"> V</t>
    </r>
  </si>
  <si>
    <r>
      <t>输出电流</t>
    </r>
    <r>
      <rPr>
        <sz val="11"/>
        <rFont val="Tahoma"/>
        <family val="2"/>
      </rPr>
      <t xml:space="preserve"> mA</t>
    </r>
  </si>
  <si>
    <r>
      <t>波纹</t>
    </r>
    <r>
      <rPr>
        <sz val="11"/>
        <rFont val="Tahoma"/>
        <family val="2"/>
      </rPr>
      <t>mV(pp)</t>
    </r>
  </si>
  <si>
    <r>
      <t>工作频率</t>
    </r>
    <r>
      <rPr>
        <sz val="11"/>
        <rFont val="Tahoma"/>
        <family val="2"/>
      </rPr>
      <t>kHz</t>
    </r>
  </si>
  <si>
    <t>www.dianyuan.com</t>
  </si>
  <si>
    <t>R2功耗</t>
  </si>
  <si>
    <t>W</t>
  </si>
  <si>
    <t>该图仅供参考，提压(&gt;40V)扩流(&gt;750mA)时需要相应扩展电路</t>
  </si>
  <si>
    <r>
      <t>出处：</t>
    </r>
    <r>
      <rPr>
        <sz val="11"/>
        <color indexed="9"/>
        <rFont val="Arial"/>
        <family val="2"/>
      </rPr>
      <t>www.dianyuan.com</t>
    </r>
    <r>
      <rPr>
        <sz val="11"/>
        <color indexed="9"/>
        <rFont val="宋体"/>
        <family val="0"/>
      </rPr>
      <t>　　　表格设计：</t>
    </r>
    <r>
      <rPr>
        <sz val="11"/>
        <color indexed="9"/>
        <rFont val="Arial"/>
        <family val="2"/>
      </rPr>
      <t>ABCCBA</t>
    </r>
  </si>
  <si>
    <r>
      <t>34063</t>
    </r>
    <r>
      <rPr>
        <sz val="24"/>
        <color indexed="9"/>
        <rFont val="黑体"/>
        <family val="0"/>
      </rPr>
      <t>降压电路</t>
    </r>
    <r>
      <rPr>
        <sz val="24"/>
        <color indexed="9"/>
        <rFont val="Arial"/>
        <family val="2"/>
      </rPr>
      <t>(</t>
    </r>
    <r>
      <rPr>
        <sz val="24"/>
        <color indexed="9"/>
        <rFont val="黑体"/>
        <family val="0"/>
      </rPr>
      <t>扩压扩流</t>
    </r>
    <r>
      <rPr>
        <sz val="24"/>
        <color indexed="9"/>
        <rFont val="Arial"/>
        <family val="2"/>
      </rPr>
      <t>)</t>
    </r>
    <r>
      <rPr>
        <sz val="24"/>
        <color indexed="9"/>
        <rFont val="黑体"/>
        <family val="0"/>
      </rPr>
      <t>参数计算</t>
    </r>
  </si>
  <si>
    <t xml:space="preserve"> </t>
  </si>
  <si>
    <t>Ct</t>
  </si>
  <si>
    <t>PF</t>
  </si>
  <si>
    <t>Ipk</t>
  </si>
  <si>
    <t>mA</t>
  </si>
  <si>
    <t>Rsc</t>
  </si>
  <si>
    <t>Ω</t>
  </si>
  <si>
    <t>Lmin</t>
  </si>
  <si>
    <t>uH</t>
  </si>
  <si>
    <t>Co</t>
  </si>
  <si>
    <t>uF</t>
  </si>
  <si>
    <t>R1</t>
  </si>
  <si>
    <t>KΩ</t>
  </si>
  <si>
    <t>R2</t>
  </si>
  <si>
    <t>N</t>
  </si>
  <si>
    <t>匝</t>
  </si>
  <si>
    <t>Risens</t>
  </si>
  <si>
    <t>输入电压</t>
  </si>
  <si>
    <t>输出电压</t>
  </si>
  <si>
    <t>输出电流</t>
  </si>
  <si>
    <t>输出波纹</t>
  </si>
  <si>
    <t>工作频率</t>
  </si>
  <si>
    <t>N</t>
  </si>
  <si>
    <t>Risens</t>
  </si>
  <si>
    <r>
      <t>Risens</t>
    </r>
    <r>
      <rPr>
        <sz val="10"/>
        <rFont val="黑体"/>
        <family val="0"/>
      </rPr>
      <t>功耗</t>
    </r>
  </si>
  <si>
    <t>W</t>
  </si>
  <si>
    <t>占空比</t>
  </si>
  <si>
    <t>%</t>
  </si>
  <si>
    <r>
      <t>R2</t>
    </r>
    <r>
      <rPr>
        <sz val="11"/>
        <color indexed="23"/>
        <rFont val="黑体"/>
        <family val="0"/>
      </rPr>
      <t>功耗</t>
    </r>
  </si>
  <si>
    <t>W</t>
  </si>
  <si>
    <r>
      <t>Risens</t>
    </r>
    <r>
      <rPr>
        <sz val="11"/>
        <color indexed="23"/>
        <rFont val="黑体"/>
        <family val="0"/>
      </rPr>
      <t>功耗</t>
    </r>
  </si>
  <si>
    <r>
      <t>R2</t>
    </r>
    <r>
      <rPr>
        <sz val="10"/>
        <rFont val="黑体"/>
        <family val="0"/>
      </rPr>
      <t>功耗</t>
    </r>
  </si>
  <si>
    <t>输入电容</t>
  </si>
  <si>
    <t>Hz</t>
  </si>
  <si>
    <t>输出电压</t>
  </si>
  <si>
    <t xml:space="preserve"> uF</t>
  </si>
  <si>
    <t>工作频率</t>
  </si>
  <si>
    <t>A</t>
  </si>
  <si>
    <t>全波整流输入滤波电容计算</t>
  </si>
  <si>
    <t>输出电流</t>
  </si>
  <si>
    <t>输入电流</t>
  </si>
  <si>
    <t>V(pp)</t>
  </si>
  <si>
    <t>（单独计算）</t>
  </si>
  <si>
    <t>* 大电流使用互感器时需要考虑直流电平</t>
  </si>
  <si>
    <r>
      <t>Rsc</t>
    </r>
    <r>
      <rPr>
        <sz val="11"/>
        <color indexed="23"/>
        <rFont val="黑体"/>
        <family val="0"/>
      </rPr>
      <t>功耗</t>
    </r>
  </si>
  <si>
    <t>ABCCBA原来做硬件，TTL、CMOS那种，现在从事汽车电子及维修设备，脑袋里有想法，手里有活，账上有一点开发费。欲交往有单片机/CPLD开发经验、人品好的朋友。
chengqi666@163.com
写信时请注明：电源网-＊＊＊(你的电源网用户名)</t>
  </si>
  <si>
    <r>
      <t>s</t>
    </r>
    <r>
      <rPr>
        <sz val="12"/>
        <rFont val="宋体"/>
        <family val="0"/>
      </rPr>
      <t>n</t>
    </r>
  </si>
  <si>
    <r>
      <t>0</t>
    </r>
    <r>
      <rPr>
        <sz val="12"/>
        <rFont val="宋体"/>
        <family val="0"/>
      </rPr>
      <t>00000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</si>
</sst>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_);[Red]\(0.0\)"/>
    <numFmt numFmtId="191" formatCode="0.00_);[Red]\(0.00\)"/>
    <numFmt numFmtId="192" formatCode="0.0_ "/>
    <numFmt numFmtId="193" formatCode="0.000_);[Red]\(0.000\)"/>
    <numFmt numFmtId="194" formatCode="0.00_ "/>
  </numFmts>
  <fonts count="36">
    <font>
      <sz val="12"/>
      <name val="宋体"/>
      <family val="0"/>
    </font>
    <font>
      <sz val="10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sz val="16"/>
      <color indexed="6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23"/>
      <name val="宋体"/>
      <family val="0"/>
    </font>
    <font>
      <sz val="11"/>
      <color indexed="23"/>
      <name val="Arial"/>
      <family val="2"/>
    </font>
    <font>
      <u val="single"/>
      <sz val="12"/>
      <color indexed="12"/>
      <name val="宋体"/>
      <family val="0"/>
    </font>
    <font>
      <sz val="24"/>
      <color indexed="9"/>
      <name val="Arial"/>
      <family val="2"/>
    </font>
    <font>
      <sz val="24"/>
      <color indexed="9"/>
      <name val="黑体"/>
      <family val="0"/>
    </font>
    <font>
      <sz val="11"/>
      <color indexed="9"/>
      <name val="宋体"/>
      <family val="0"/>
    </font>
    <font>
      <sz val="11"/>
      <color indexed="9"/>
      <name val="Arial"/>
      <family val="2"/>
    </font>
    <font>
      <b/>
      <sz val="12"/>
      <color indexed="57"/>
      <name val="宋体"/>
      <family val="0"/>
    </font>
    <font>
      <u val="single"/>
      <sz val="36"/>
      <color indexed="12"/>
      <name val="Arial"/>
      <family val="2"/>
    </font>
    <font>
      <sz val="36"/>
      <name val="Arial"/>
      <family val="2"/>
    </font>
    <font>
      <u val="single"/>
      <sz val="12"/>
      <color indexed="36"/>
      <name val="宋体"/>
      <family val="0"/>
    </font>
    <font>
      <sz val="14"/>
      <color indexed="10"/>
      <name val="黑体"/>
      <family val="0"/>
    </font>
    <font>
      <b/>
      <sz val="14"/>
      <color indexed="6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0"/>
      <name val="黑体"/>
      <family val="0"/>
    </font>
    <font>
      <sz val="11"/>
      <color indexed="23"/>
      <name val="黑体"/>
      <family val="0"/>
    </font>
    <font>
      <b/>
      <sz val="11"/>
      <color indexed="23"/>
      <name val="Arial"/>
      <family val="2"/>
    </font>
    <font>
      <sz val="20"/>
      <color indexed="9"/>
      <name val="黑体"/>
      <family val="0"/>
    </font>
    <font>
      <sz val="14"/>
      <name val="宋体"/>
      <family val="0"/>
    </font>
    <font>
      <sz val="11"/>
      <color indexed="60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hair">
        <color indexed="22"/>
      </right>
      <top style="double">
        <color indexed="10"/>
      </top>
      <bottom style="hair">
        <color indexed="22"/>
      </bottom>
    </border>
    <border>
      <left style="medium">
        <color indexed="55"/>
      </left>
      <right>
        <color indexed="63"/>
      </right>
      <top style="double">
        <color indexed="10"/>
      </top>
      <bottom style="medium">
        <color indexed="55"/>
      </bottom>
    </border>
    <border>
      <left>
        <color indexed="63"/>
      </left>
      <right style="medium">
        <color indexed="55"/>
      </right>
      <top style="double">
        <color indexed="10"/>
      </top>
      <bottom style="medium">
        <color indexed="55"/>
      </bottom>
    </border>
    <border>
      <left>
        <color indexed="63"/>
      </left>
      <right style="double">
        <color indexed="10"/>
      </right>
      <top style="double">
        <color indexed="10"/>
      </top>
      <bottom style="hair">
        <color indexed="22"/>
      </bottom>
    </border>
    <border>
      <left style="double">
        <color indexed="10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double">
        <color indexed="10"/>
      </right>
      <top style="hair">
        <color indexed="22"/>
      </top>
      <bottom style="hair">
        <color indexed="22"/>
      </bottom>
    </border>
    <border>
      <left style="double">
        <color indexed="10"/>
      </left>
      <right style="hair">
        <color indexed="22"/>
      </right>
      <top style="hair">
        <color indexed="22"/>
      </top>
      <bottom style="double">
        <color indexed="10"/>
      </bottom>
    </border>
    <border>
      <left style="medium">
        <color indexed="55"/>
      </left>
      <right>
        <color indexed="63"/>
      </right>
      <top style="medium">
        <color indexed="55"/>
      </top>
      <bottom style="double">
        <color indexed="10"/>
      </bottom>
    </border>
    <border>
      <left>
        <color indexed="63"/>
      </left>
      <right style="medium">
        <color indexed="55"/>
      </right>
      <top style="medium">
        <color indexed="55"/>
      </top>
      <bottom style="double">
        <color indexed="10"/>
      </bottom>
    </border>
    <border>
      <left>
        <color indexed="63"/>
      </left>
      <right style="double">
        <color indexed="10"/>
      </right>
      <top style="hair">
        <color indexed="22"/>
      </top>
      <bottom style="double">
        <color indexed="10"/>
      </bottom>
    </border>
    <border>
      <left style="hair">
        <color indexed="22"/>
      </left>
      <right>
        <color indexed="63"/>
      </right>
      <top style="double">
        <color indexed="10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10"/>
      </top>
      <bottom style="hair">
        <color indexed="22"/>
      </bottom>
    </border>
    <border>
      <left style="hair">
        <color indexed="22"/>
      </left>
      <right style="double">
        <color indexed="10"/>
      </right>
      <top style="double">
        <color indexed="10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double">
        <color indexed="10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double">
        <color indexed="10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55"/>
      </left>
      <right>
        <color indexed="63"/>
      </right>
      <top style="medium">
        <color indexed="2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3"/>
      </top>
      <bottom style="medium">
        <color indexed="22"/>
      </bottom>
    </border>
    <border>
      <left style="double">
        <color indexed="10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double">
        <color indexed="10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2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medium">
        <color indexed="55"/>
      </top>
      <bottom style="double">
        <color indexed="10"/>
      </bottom>
    </border>
    <border>
      <left style="double">
        <color indexed="10"/>
      </left>
      <right style="hair">
        <color indexed="22"/>
      </right>
      <top>
        <color indexed="63"/>
      </top>
      <bottom style="hair">
        <color indexed="22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double">
        <color indexed="10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medium">
        <color indexed="55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9" fontId="0" fillId="0" borderId="0" xfId="0" applyNumberFormat="1" applyFont="1" applyFill="1" applyBorder="1" applyAlignment="1" applyProtection="1">
      <alignment horizontal="right" vertical="center"/>
      <protection hidden="1"/>
    </xf>
    <xf numFmtId="188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88" fontId="6" fillId="0" borderId="0" xfId="0" applyNumberFormat="1" applyFont="1" applyFill="1" applyBorder="1" applyAlignment="1" applyProtection="1">
      <alignment horizontal="center" vertical="center"/>
      <protection hidden="1"/>
    </xf>
    <xf numFmtId="189" fontId="6" fillId="0" borderId="0" xfId="0" applyNumberFormat="1" applyFont="1" applyFill="1" applyBorder="1" applyAlignment="1" applyProtection="1">
      <alignment horizontal="right" vertical="center"/>
      <protection hidden="1"/>
    </xf>
    <xf numFmtId="19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191" fontId="6" fillId="0" borderId="0" xfId="0" applyNumberFormat="1" applyFont="1" applyFill="1" applyBorder="1" applyAlignment="1" applyProtection="1">
      <alignment horizontal="right" vertical="center"/>
      <protection hidden="1"/>
    </xf>
    <xf numFmtId="190" fontId="6" fillId="0" borderId="0" xfId="0" applyNumberFormat="1" applyFont="1" applyFill="1" applyBorder="1" applyAlignment="1" applyProtection="1">
      <alignment horizontal="right" vertical="center"/>
      <protection hidden="1"/>
    </xf>
    <xf numFmtId="193" fontId="6" fillId="0" borderId="0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Alignment="1">
      <alignment vertical="center"/>
    </xf>
    <xf numFmtId="0" fontId="20" fillId="2" borderId="10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22" fillId="0" borderId="0" xfId="16" applyFont="1" applyAlignment="1">
      <alignment vertical="center"/>
    </xf>
    <xf numFmtId="0" fontId="23" fillId="0" borderId="0" xfId="0" applyFont="1" applyAlignment="1">
      <alignment vertical="center"/>
    </xf>
    <xf numFmtId="188" fontId="25" fillId="3" borderId="12" xfId="0" applyNumberFormat="1" applyFont="1" applyFill="1" applyBorder="1" applyAlignment="1">
      <alignment horizontal="center" vertical="center"/>
    </xf>
    <xf numFmtId="0" fontId="26" fillId="4" borderId="13" xfId="0" applyNumberFormat="1" applyFont="1" applyFill="1" applyBorder="1" applyAlignment="1">
      <alignment horizontal="right" vertical="center"/>
    </xf>
    <xf numFmtId="0" fontId="26" fillId="4" borderId="14" xfId="0" applyNumberFormat="1" applyFont="1" applyFill="1" applyBorder="1" applyAlignment="1">
      <alignment horizontal="right" vertical="center"/>
    </xf>
    <xf numFmtId="188" fontId="27" fillId="3" borderId="1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188" fontId="25" fillId="3" borderId="16" xfId="0" applyNumberFormat="1" applyFont="1" applyFill="1" applyBorder="1" applyAlignment="1">
      <alignment horizontal="center" vertical="center"/>
    </xf>
    <xf numFmtId="0" fontId="26" fillId="4" borderId="17" xfId="0" applyNumberFormat="1" applyFont="1" applyFill="1" applyBorder="1" applyAlignment="1">
      <alignment horizontal="right" vertical="center"/>
    </xf>
    <xf numFmtId="0" fontId="26" fillId="4" borderId="18" xfId="0" applyNumberFormat="1" applyFont="1" applyFill="1" applyBorder="1" applyAlignment="1">
      <alignment horizontal="right" vertical="center"/>
    </xf>
    <xf numFmtId="188" fontId="27" fillId="3" borderId="19" xfId="0" applyNumberFormat="1" applyFont="1" applyFill="1" applyBorder="1" applyAlignment="1">
      <alignment horizontal="center" vertical="center"/>
    </xf>
    <xf numFmtId="188" fontId="25" fillId="3" borderId="20" xfId="0" applyNumberFormat="1" applyFont="1" applyFill="1" applyBorder="1" applyAlignment="1">
      <alignment horizontal="center" vertical="center"/>
    </xf>
    <xf numFmtId="0" fontId="26" fillId="4" borderId="21" xfId="0" applyNumberFormat="1" applyFont="1" applyFill="1" applyBorder="1" applyAlignment="1">
      <alignment horizontal="right" vertical="center"/>
    </xf>
    <xf numFmtId="0" fontId="26" fillId="4" borderId="22" xfId="0" applyNumberFormat="1" applyFont="1" applyFill="1" applyBorder="1" applyAlignment="1">
      <alignment horizontal="right" vertical="center"/>
    </xf>
    <xf numFmtId="188" fontId="27" fillId="3" borderId="23" xfId="0" applyNumberFormat="1" applyFont="1" applyFill="1" applyBorder="1" applyAlignment="1">
      <alignment horizontal="center" vertical="center"/>
    </xf>
    <xf numFmtId="188" fontId="27" fillId="3" borderId="12" xfId="0" applyNumberFormat="1" applyFont="1" applyFill="1" applyBorder="1" applyAlignment="1">
      <alignment horizontal="center" vertical="center"/>
    </xf>
    <xf numFmtId="189" fontId="26" fillId="3" borderId="24" xfId="0" applyNumberFormat="1" applyFont="1" applyFill="1" applyBorder="1" applyAlignment="1" applyProtection="1">
      <alignment horizontal="right" vertical="center"/>
      <protection hidden="1"/>
    </xf>
    <xf numFmtId="189" fontId="26" fillId="3" borderId="25" xfId="0" applyNumberFormat="1" applyFont="1" applyFill="1" applyBorder="1" applyAlignment="1">
      <alignment horizontal="right" vertical="center"/>
    </xf>
    <xf numFmtId="188" fontId="27" fillId="3" borderId="26" xfId="0" applyNumberFormat="1" applyFont="1" applyFill="1" applyBorder="1" applyAlignment="1">
      <alignment horizontal="center" vertical="center"/>
    </xf>
    <xf numFmtId="188" fontId="27" fillId="3" borderId="16" xfId="0" applyNumberFormat="1" applyFont="1" applyFill="1" applyBorder="1" applyAlignment="1">
      <alignment horizontal="center" vertical="center"/>
    </xf>
    <xf numFmtId="189" fontId="26" fillId="3" borderId="27" xfId="0" applyNumberFormat="1" applyFont="1" applyFill="1" applyBorder="1" applyAlignment="1" applyProtection="1">
      <alignment horizontal="right" vertical="center"/>
      <protection hidden="1"/>
    </xf>
    <xf numFmtId="191" fontId="26" fillId="3" borderId="28" xfId="0" applyNumberFormat="1" applyFont="1" applyFill="1" applyBorder="1" applyAlignment="1">
      <alignment horizontal="right" vertical="center"/>
    </xf>
    <xf numFmtId="188" fontId="27" fillId="3" borderId="29" xfId="0" applyNumberFormat="1" applyFont="1" applyFill="1" applyBorder="1" applyAlignment="1">
      <alignment horizontal="center" vertical="center"/>
    </xf>
    <xf numFmtId="191" fontId="26" fillId="3" borderId="27" xfId="0" applyNumberFormat="1" applyFont="1" applyFill="1" applyBorder="1" applyAlignment="1" applyProtection="1">
      <alignment horizontal="right" vertical="center"/>
      <protection hidden="1"/>
    </xf>
    <xf numFmtId="189" fontId="26" fillId="3" borderId="28" xfId="0" applyNumberFormat="1" applyFont="1" applyFill="1" applyBorder="1" applyAlignment="1">
      <alignment horizontal="right" vertical="center"/>
    </xf>
    <xf numFmtId="189" fontId="26" fillId="3" borderId="30" xfId="0" applyNumberFormat="1" applyFont="1" applyFill="1" applyBorder="1" applyAlignment="1" applyProtection="1">
      <alignment horizontal="right" vertical="center"/>
      <protection hidden="1"/>
    </xf>
    <xf numFmtId="189" fontId="26" fillId="3" borderId="31" xfId="0" applyNumberFormat="1" applyFont="1" applyFill="1" applyBorder="1" applyAlignment="1">
      <alignment horizontal="right" vertical="center"/>
    </xf>
    <xf numFmtId="188" fontId="27" fillId="3" borderId="32" xfId="0" applyNumberFormat="1" applyFont="1" applyFill="1" applyBorder="1" applyAlignment="1">
      <alignment horizontal="center" vertical="center"/>
    </xf>
    <xf numFmtId="190" fontId="26" fillId="4" borderId="33" xfId="0" applyNumberFormat="1" applyFont="1" applyFill="1" applyBorder="1" applyAlignment="1">
      <alignment horizontal="right" vertical="center"/>
    </xf>
    <xf numFmtId="190" fontId="26" fillId="4" borderId="34" xfId="0" applyNumberFormat="1" applyFont="1" applyFill="1" applyBorder="1" applyAlignment="1">
      <alignment horizontal="right" vertical="center"/>
    </xf>
    <xf numFmtId="190" fontId="26" fillId="3" borderId="27" xfId="0" applyNumberFormat="1" applyFont="1" applyFill="1" applyBorder="1" applyAlignment="1" applyProtection="1">
      <alignment horizontal="right" vertical="center"/>
      <protection hidden="1"/>
    </xf>
    <xf numFmtId="188" fontId="25" fillId="3" borderId="19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 applyProtection="1">
      <alignment horizontal="center" vertical="center"/>
      <protection hidden="1"/>
    </xf>
    <xf numFmtId="193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88" fontId="15" fillId="3" borderId="35" xfId="0" applyNumberFormat="1" applyFont="1" applyFill="1" applyBorder="1" applyAlignment="1">
      <alignment horizontal="center" vertical="center"/>
    </xf>
    <xf numFmtId="193" fontId="31" fillId="3" borderId="30" xfId="0" applyNumberFormat="1" applyFont="1" applyFill="1" applyBorder="1" applyAlignment="1" applyProtection="1">
      <alignment horizontal="right" vertical="center"/>
      <protection hidden="1"/>
    </xf>
    <xf numFmtId="190" fontId="31" fillId="3" borderId="31" xfId="0" applyNumberFormat="1" applyFont="1" applyFill="1" applyBorder="1" applyAlignment="1">
      <alignment horizontal="right" vertical="center"/>
    </xf>
    <xf numFmtId="188" fontId="15" fillId="3" borderId="3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188" fontId="30" fillId="3" borderId="20" xfId="0" applyNumberFormat="1" applyFont="1" applyFill="1" applyBorder="1" applyAlignment="1">
      <alignment horizontal="center" vertical="center"/>
    </xf>
    <xf numFmtId="190" fontId="31" fillId="3" borderId="37" xfId="0" applyNumberFormat="1" applyFont="1" applyFill="1" applyBorder="1" applyAlignment="1" applyProtection="1">
      <alignment horizontal="right" vertical="center"/>
      <protection hidden="1"/>
    </xf>
    <xf numFmtId="190" fontId="31" fillId="3" borderId="38" xfId="0" applyNumberFormat="1" applyFont="1" applyFill="1" applyBorder="1" applyAlignment="1">
      <alignment horizontal="right" vertical="center"/>
    </xf>
    <xf numFmtId="188" fontId="15" fillId="3" borderId="39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91" fontId="31" fillId="3" borderId="30" xfId="0" applyNumberFormat="1" applyFont="1" applyFill="1" applyBorder="1" applyAlignment="1" applyProtection="1">
      <alignment horizontal="right" vertical="center"/>
      <protection hidden="1"/>
    </xf>
    <xf numFmtId="190" fontId="26" fillId="3" borderId="41" xfId="0" applyNumberFormat="1" applyFont="1" applyFill="1" applyBorder="1" applyAlignment="1" applyProtection="1">
      <alignment horizontal="right" vertical="center"/>
      <protection hidden="1"/>
    </xf>
    <xf numFmtId="188" fontId="25" fillId="3" borderId="42" xfId="0" applyNumberFormat="1" applyFont="1" applyFill="1" applyBorder="1" applyAlignment="1">
      <alignment horizontal="center" vertical="center"/>
    </xf>
    <xf numFmtId="0" fontId="26" fillId="4" borderId="43" xfId="0" applyNumberFormat="1" applyFont="1" applyFill="1" applyBorder="1" applyAlignment="1">
      <alignment horizontal="right" vertical="center"/>
    </xf>
    <xf numFmtId="0" fontId="26" fillId="4" borderId="44" xfId="0" applyNumberFormat="1" applyFont="1" applyFill="1" applyBorder="1" applyAlignment="1">
      <alignment horizontal="right" vertical="center"/>
    </xf>
    <xf numFmtId="188" fontId="27" fillId="3" borderId="45" xfId="0" applyNumberFormat="1" applyFont="1" applyFill="1" applyBorder="1" applyAlignment="1">
      <alignment horizontal="center" vertical="center"/>
    </xf>
    <xf numFmtId="194" fontId="26" fillId="3" borderId="27" xfId="0" applyNumberFormat="1" applyFont="1" applyFill="1" applyBorder="1" applyAlignment="1" applyProtection="1">
      <alignment horizontal="right" vertical="center"/>
      <protection hidden="1"/>
    </xf>
    <xf numFmtId="188" fontId="26" fillId="3" borderId="46" xfId="0" applyNumberFormat="1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>
      <alignment vertical="center"/>
    </xf>
    <xf numFmtId="0" fontId="26" fillId="4" borderId="47" xfId="0" applyNumberFormat="1" applyFont="1" applyFill="1" applyBorder="1" applyAlignment="1">
      <alignment horizontal="right" vertical="center"/>
    </xf>
    <xf numFmtId="0" fontId="26" fillId="4" borderId="48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189" fontId="26" fillId="4" borderId="33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49" fontId="0" fillId="0" borderId="0" xfId="0" applyNumberFormat="1" applyFont="1" applyFill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png" /><Relationship Id="rId3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13</xdr:row>
      <xdr:rowOff>19050</xdr:rowOff>
    </xdr:from>
    <xdr:to>
      <xdr:col>10</xdr:col>
      <xdr:colOff>0</xdr:colOff>
      <xdr:row>21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771775"/>
          <a:ext cx="390525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25</xdr:row>
      <xdr:rowOff>152400</xdr:rowOff>
    </xdr:from>
    <xdr:to>
      <xdr:col>5</xdr:col>
      <xdr:colOff>171450</xdr:colOff>
      <xdr:row>45</xdr:row>
      <xdr:rowOff>180975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5429250"/>
          <a:ext cx="388620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</xdr:row>
      <xdr:rowOff>9525</xdr:rowOff>
    </xdr:from>
    <xdr:to>
      <xdr:col>9</xdr:col>
      <xdr:colOff>1028700</xdr:colOff>
      <xdr:row>10</xdr:row>
      <xdr:rowOff>19050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762000"/>
          <a:ext cx="2724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nyua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L57"/>
  <sheetViews>
    <sheetView showGridLines="0" tabSelected="1" workbookViewId="0" topLeftCell="A1">
      <selection activeCell="I47" sqref="I47"/>
    </sheetView>
  </sheetViews>
  <sheetFormatPr defaultColWidth="9.00390625" defaultRowHeight="14.25"/>
  <cols>
    <col min="1" max="1" width="7.25390625" style="17" customWidth="1"/>
    <col min="2" max="2" width="22.125" style="18" customWidth="1"/>
    <col min="3" max="3" width="14.25390625" style="19" customWidth="1"/>
    <col min="4" max="4" width="0.6171875" style="19" customWidth="1"/>
    <col min="5" max="5" width="13.75390625" style="17" customWidth="1"/>
    <col min="6" max="6" width="2.875" style="17" customWidth="1"/>
    <col min="7" max="7" width="15.125" style="17" customWidth="1"/>
    <col min="8" max="8" width="0.6171875" style="17" customWidth="1"/>
    <col min="9" max="9" width="15.125" style="17" customWidth="1"/>
    <col min="10" max="10" width="21.50390625" style="17" customWidth="1"/>
    <col min="11" max="11" width="1.625" style="17" customWidth="1"/>
    <col min="12" max="16384" width="9.00390625" style="17" customWidth="1"/>
  </cols>
  <sheetData>
    <row r="1" ht="9" customHeight="1"/>
    <row r="2" spans="2:11" ht="26.25" customHeight="1">
      <c r="B2" s="113" t="s">
        <v>92</v>
      </c>
      <c r="C2" s="114"/>
      <c r="D2" s="114"/>
      <c r="E2" s="114"/>
      <c r="F2" s="114"/>
      <c r="G2" s="114"/>
      <c r="H2" s="114"/>
      <c r="I2" s="114"/>
      <c r="J2" s="114"/>
      <c r="K2" s="115"/>
    </row>
    <row r="3" ht="4.5" customHeight="1" thickBot="1"/>
    <row r="4" spans="2:11" s="55" customFormat="1" ht="19.5" customHeight="1" thickBot="1" thickTop="1">
      <c r="B4" s="51" t="s">
        <v>110</v>
      </c>
      <c r="C4" s="52">
        <v>51</v>
      </c>
      <c r="D4" s="53"/>
      <c r="E4" s="54" t="s">
        <v>68</v>
      </c>
      <c r="G4" s="56"/>
      <c r="H4" s="56"/>
      <c r="I4" s="56"/>
      <c r="J4" s="56"/>
      <c r="K4" s="57"/>
    </row>
    <row r="5" spans="2:11" s="55" customFormat="1" ht="19.5" customHeight="1" thickBot="1">
      <c r="B5" s="58" t="s">
        <v>111</v>
      </c>
      <c r="C5" s="59">
        <v>7.5</v>
      </c>
      <c r="D5" s="60"/>
      <c r="E5" s="61" t="s">
        <v>1</v>
      </c>
      <c r="G5" s="56"/>
      <c r="H5" s="56"/>
      <c r="I5" s="56"/>
      <c r="J5" s="56"/>
      <c r="K5" s="57"/>
    </row>
    <row r="6" spans="2:11" s="55" customFormat="1" ht="19.5" customHeight="1" thickBot="1">
      <c r="B6" s="58" t="s">
        <v>112</v>
      </c>
      <c r="C6" s="59">
        <v>5000</v>
      </c>
      <c r="D6" s="60"/>
      <c r="E6" s="61" t="s">
        <v>69</v>
      </c>
      <c r="G6" s="56"/>
      <c r="H6" s="56"/>
      <c r="I6" s="56"/>
      <c r="J6" s="56"/>
      <c r="K6" s="57"/>
    </row>
    <row r="7" spans="2:11" s="55" customFormat="1" ht="19.5" customHeight="1" thickBot="1">
      <c r="B7" s="58" t="s">
        <v>113</v>
      </c>
      <c r="C7" s="59">
        <v>100</v>
      </c>
      <c r="D7" s="60"/>
      <c r="E7" s="61" t="s">
        <v>70</v>
      </c>
      <c r="G7" s="56"/>
      <c r="H7" s="56"/>
      <c r="I7" s="56"/>
      <c r="J7" s="56"/>
      <c r="K7" s="57"/>
    </row>
    <row r="8" spans="2:11" s="55" customFormat="1" ht="19.5" customHeight="1" thickBot="1">
      <c r="B8" s="62" t="s">
        <v>114</v>
      </c>
      <c r="C8" s="63">
        <v>10</v>
      </c>
      <c r="D8" s="64"/>
      <c r="E8" s="65" t="s">
        <v>3</v>
      </c>
      <c r="G8" s="56"/>
      <c r="H8" s="56"/>
      <c r="I8" s="56"/>
      <c r="J8" s="56"/>
      <c r="K8" s="57"/>
    </row>
    <row r="9" spans="2:11" s="20" customFormat="1" ht="6" customHeight="1" thickBot="1" thickTop="1">
      <c r="B9" s="23"/>
      <c r="C9" s="21"/>
      <c r="D9" s="21"/>
      <c r="E9" s="22"/>
      <c r="G9" s="24"/>
      <c r="H9" s="24"/>
      <c r="I9" s="24"/>
      <c r="J9" s="24"/>
      <c r="K9" s="25"/>
    </row>
    <row r="10" spans="2:11" s="55" customFormat="1" ht="19.5" customHeight="1" thickTop="1">
      <c r="B10" s="66" t="s">
        <v>94</v>
      </c>
      <c r="C10" s="67">
        <f>'草稿'!C14</f>
        <v>639.3762183235868</v>
      </c>
      <c r="D10" s="68"/>
      <c r="E10" s="69" t="s">
        <v>95</v>
      </c>
      <c r="G10" s="56"/>
      <c r="H10" s="56"/>
      <c r="I10" s="56"/>
      <c r="J10" s="56"/>
      <c r="K10" s="57"/>
    </row>
    <row r="11" spans="2:11" s="55" customFormat="1" ht="19.5" customHeight="1">
      <c r="B11" s="70" t="s">
        <v>96</v>
      </c>
      <c r="C11" s="71">
        <f>'草稿'!C15</f>
        <v>10000</v>
      </c>
      <c r="D11" s="72"/>
      <c r="E11" s="73" t="s">
        <v>97</v>
      </c>
      <c r="G11" s="118" t="s">
        <v>136</v>
      </c>
      <c r="H11" s="118"/>
      <c r="I11" s="118"/>
      <c r="J11" s="118"/>
      <c r="K11" s="57"/>
    </row>
    <row r="12" spans="2:11" s="55" customFormat="1" ht="19.5" customHeight="1">
      <c r="B12" s="70" t="s">
        <v>98</v>
      </c>
      <c r="C12" s="74">
        <f>'草稿'!C16</f>
        <v>0.03</v>
      </c>
      <c r="D12" s="72"/>
      <c r="E12" s="73" t="s">
        <v>99</v>
      </c>
      <c r="G12" s="56"/>
      <c r="H12" s="56"/>
      <c r="I12" s="56"/>
      <c r="J12" s="56"/>
      <c r="K12" s="57"/>
    </row>
    <row r="13" spans="2:11" s="90" customFormat="1" ht="15" customHeight="1">
      <c r="B13" s="86" t="s">
        <v>137</v>
      </c>
      <c r="C13" s="100">
        <f>'草稿'!C17</f>
        <v>0.2205882352941176</v>
      </c>
      <c r="D13" s="88"/>
      <c r="E13" s="89" t="s">
        <v>122</v>
      </c>
      <c r="G13" s="91"/>
      <c r="H13" s="91"/>
      <c r="I13" s="91"/>
      <c r="J13" s="91"/>
      <c r="K13" s="92"/>
    </row>
    <row r="14" spans="2:11" s="55" customFormat="1" ht="19.5" customHeight="1">
      <c r="B14" s="70" t="s">
        <v>100</v>
      </c>
      <c r="C14" s="71">
        <f>'草稿'!C18</f>
        <v>68.89278752436648</v>
      </c>
      <c r="D14" s="75"/>
      <c r="E14" s="73" t="s">
        <v>101</v>
      </c>
      <c r="G14" s="56"/>
      <c r="H14" s="56"/>
      <c r="I14" s="56"/>
      <c r="J14" s="56"/>
      <c r="K14" s="57"/>
    </row>
    <row r="15" spans="2:11" s="55" customFormat="1" ht="19.5" customHeight="1" thickBot="1">
      <c r="B15" s="70" t="s">
        <v>102</v>
      </c>
      <c r="C15" s="76">
        <f>'草稿'!C19</f>
        <v>1250</v>
      </c>
      <c r="D15" s="77"/>
      <c r="E15" s="73" t="s">
        <v>103</v>
      </c>
      <c r="G15" s="56"/>
      <c r="H15" s="56"/>
      <c r="I15" s="56"/>
      <c r="J15" s="56"/>
      <c r="K15" s="57"/>
    </row>
    <row r="16" spans="2:11" s="55" customFormat="1" ht="19.5" customHeight="1" thickBot="1">
      <c r="B16" s="78" t="s">
        <v>104</v>
      </c>
      <c r="C16" s="79">
        <v>1</v>
      </c>
      <c r="D16" s="80"/>
      <c r="E16" s="61" t="s">
        <v>105</v>
      </c>
      <c r="G16" s="56"/>
      <c r="H16" s="56"/>
      <c r="I16" s="56"/>
      <c r="J16" s="56"/>
      <c r="K16" s="57"/>
    </row>
    <row r="17" spans="2:11" s="55" customFormat="1" ht="19.5" customHeight="1">
      <c r="B17" s="70" t="s">
        <v>106</v>
      </c>
      <c r="C17" s="81">
        <f>'草稿'!C21</f>
        <v>5</v>
      </c>
      <c r="D17" s="72"/>
      <c r="E17" s="73" t="s">
        <v>105</v>
      </c>
      <c r="G17" s="56"/>
      <c r="H17" s="56"/>
      <c r="I17" s="56"/>
      <c r="J17" s="56"/>
      <c r="K17" s="57"/>
    </row>
    <row r="18" spans="2:11" s="90" customFormat="1" ht="15" customHeight="1" thickBot="1">
      <c r="B18" s="86" t="s">
        <v>121</v>
      </c>
      <c r="C18" s="87">
        <f>'草稿'!C22</f>
        <v>0.0078125</v>
      </c>
      <c r="D18" s="88"/>
      <c r="E18" s="89" t="s">
        <v>122</v>
      </c>
      <c r="G18" s="91"/>
      <c r="H18" s="91"/>
      <c r="I18" s="91"/>
      <c r="J18" s="91"/>
      <c r="K18" s="92"/>
    </row>
    <row r="19" spans="2:11" s="55" customFormat="1" ht="19.5" customHeight="1" thickBot="1">
      <c r="B19" s="78" t="s">
        <v>107</v>
      </c>
      <c r="C19" s="112">
        <v>20</v>
      </c>
      <c r="D19" s="80"/>
      <c r="E19" s="82" t="s">
        <v>108</v>
      </c>
      <c r="G19" s="56"/>
      <c r="H19" s="56"/>
      <c r="I19" s="56"/>
      <c r="J19" s="56"/>
      <c r="K19" s="57"/>
    </row>
    <row r="20" spans="2:11" s="55" customFormat="1" ht="19.5" customHeight="1">
      <c r="B20" s="70" t="s">
        <v>109</v>
      </c>
      <c r="C20" s="81">
        <f>'草稿'!C24</f>
        <v>0.6</v>
      </c>
      <c r="D20" s="72"/>
      <c r="E20" s="73" t="s">
        <v>99</v>
      </c>
      <c r="G20" s="56"/>
      <c r="H20" s="56"/>
      <c r="I20" s="56"/>
      <c r="J20" s="56"/>
      <c r="K20" s="57"/>
    </row>
    <row r="21" spans="2:11" s="90" customFormat="1" ht="15" customHeight="1">
      <c r="B21" s="86" t="s">
        <v>123</v>
      </c>
      <c r="C21" s="87">
        <f>'草稿'!C25</f>
        <v>0.15</v>
      </c>
      <c r="D21" s="88"/>
      <c r="E21" s="89" t="s">
        <v>118</v>
      </c>
      <c r="G21" s="91"/>
      <c r="H21" s="91"/>
      <c r="I21" s="91"/>
      <c r="J21" s="91"/>
      <c r="K21" s="92"/>
    </row>
    <row r="22" spans="2:11" s="90" customFormat="1" ht="18.75" customHeight="1" thickBot="1">
      <c r="B22" s="93" t="s">
        <v>119</v>
      </c>
      <c r="C22" s="94">
        <f>'草稿'!E11*100</f>
        <v>15.984405458089668</v>
      </c>
      <c r="D22" s="95"/>
      <c r="E22" s="96" t="s">
        <v>120</v>
      </c>
      <c r="G22" s="91"/>
      <c r="H22" s="91"/>
      <c r="I22" s="91"/>
      <c r="J22" s="91"/>
      <c r="K22" s="92"/>
    </row>
    <row r="23" spans="2:9" s="27" customFormat="1" ht="3.75" customHeight="1" thickTop="1">
      <c r="B23" s="26"/>
      <c r="G23" s="28"/>
      <c r="H23" s="28"/>
      <c r="I23" s="28"/>
    </row>
    <row r="24" spans="2:11" s="27" customFormat="1" ht="14.25">
      <c r="B24" s="46" t="s">
        <v>91</v>
      </c>
      <c r="C24" s="47"/>
      <c r="D24" s="47"/>
      <c r="E24" s="45"/>
      <c r="F24" s="44"/>
      <c r="G24" s="48" t="s">
        <v>90</v>
      </c>
      <c r="H24" s="108"/>
      <c r="I24" s="108"/>
      <c r="J24" s="47"/>
      <c r="K24" s="45"/>
    </row>
    <row r="25" ht="15"/>
    <row r="26" spans="2:9" ht="15">
      <c r="B26" s="97"/>
      <c r="C26" s="98"/>
      <c r="D26" s="98"/>
      <c r="E26" s="99"/>
      <c r="F26" s="99"/>
      <c r="G26" s="99"/>
      <c r="H26" s="99"/>
      <c r="I26" s="99"/>
    </row>
    <row r="27" spans="2:9" ht="15">
      <c r="B27" s="97"/>
      <c r="C27" s="98"/>
      <c r="D27" s="98"/>
      <c r="E27" s="99"/>
      <c r="F27" s="99"/>
      <c r="G27" s="99"/>
      <c r="H27" s="99"/>
      <c r="I27" s="99"/>
    </row>
    <row r="28" spans="2:9" ht="15">
      <c r="B28" s="97"/>
      <c r="C28" s="98"/>
      <c r="D28" s="98"/>
      <c r="E28" s="99"/>
      <c r="F28" s="99"/>
      <c r="G28" s="99"/>
      <c r="H28" s="99"/>
      <c r="I28" s="99"/>
    </row>
    <row r="29" spans="2:9" ht="15">
      <c r="B29" s="97"/>
      <c r="C29" s="98"/>
      <c r="D29" s="98"/>
      <c r="E29" s="99"/>
      <c r="F29" s="99"/>
      <c r="G29" s="99"/>
      <c r="H29" s="99"/>
      <c r="I29" s="99"/>
    </row>
    <row r="30" spans="2:9" ht="15">
      <c r="B30" s="97"/>
      <c r="C30" s="98"/>
      <c r="D30" s="98"/>
      <c r="E30" s="99"/>
      <c r="F30" s="99"/>
      <c r="G30" s="99"/>
      <c r="H30" s="99"/>
      <c r="I30" s="99"/>
    </row>
    <row r="31" spans="2:9" ht="15">
      <c r="B31" s="97"/>
      <c r="C31" s="98"/>
      <c r="D31" s="98"/>
      <c r="E31" s="99"/>
      <c r="F31" s="99"/>
      <c r="G31" s="99"/>
      <c r="H31" s="99"/>
      <c r="I31" s="99"/>
    </row>
    <row r="32" spans="2:9" ht="15">
      <c r="B32" s="97"/>
      <c r="C32" s="98"/>
      <c r="D32" s="98"/>
      <c r="E32" s="99"/>
      <c r="F32" s="99"/>
      <c r="G32" s="99"/>
      <c r="H32" s="99"/>
      <c r="I32" s="99"/>
    </row>
    <row r="33" spans="2:9" ht="15">
      <c r="B33" s="97"/>
      <c r="C33" s="98"/>
      <c r="D33" s="98"/>
      <c r="E33" s="99"/>
      <c r="F33" s="99"/>
      <c r="G33" s="99"/>
      <c r="H33" s="99"/>
      <c r="I33" s="99"/>
    </row>
    <row r="34" spans="2:9" ht="15">
      <c r="B34" s="97"/>
      <c r="C34" s="98"/>
      <c r="D34" s="98"/>
      <c r="E34" s="99"/>
      <c r="F34" s="99"/>
      <c r="G34" s="99"/>
      <c r="H34" s="99"/>
      <c r="I34" s="99"/>
    </row>
    <row r="35" spans="2:9" ht="15">
      <c r="B35" s="97"/>
      <c r="C35" s="98"/>
      <c r="D35" s="98"/>
      <c r="E35" s="99"/>
      <c r="F35" s="99"/>
      <c r="G35" s="99"/>
      <c r="H35" s="99"/>
      <c r="I35" s="99"/>
    </row>
    <row r="36" spans="2:9" ht="15">
      <c r="B36" s="97"/>
      <c r="C36" s="98"/>
      <c r="D36" s="98"/>
      <c r="E36" s="99"/>
      <c r="F36" s="99"/>
      <c r="G36" s="99"/>
      <c r="H36" s="99"/>
      <c r="I36" s="99"/>
    </row>
    <row r="37" spans="2:9" ht="15">
      <c r="B37" s="97"/>
      <c r="C37" s="98"/>
      <c r="D37" s="98"/>
      <c r="E37" s="99"/>
      <c r="F37" s="99"/>
      <c r="G37" s="99"/>
      <c r="H37" s="99"/>
      <c r="I37" s="99"/>
    </row>
    <row r="38" spans="2:9" ht="15">
      <c r="B38" s="97"/>
      <c r="C38" s="98"/>
      <c r="D38" s="98"/>
      <c r="E38" s="99"/>
      <c r="F38" s="99"/>
      <c r="G38" s="99"/>
      <c r="H38" s="99"/>
      <c r="I38" s="99"/>
    </row>
    <row r="39" spans="2:9" ht="15">
      <c r="B39" s="97"/>
      <c r="C39" s="98"/>
      <c r="D39" s="98"/>
      <c r="E39" s="99"/>
      <c r="F39" s="99"/>
      <c r="G39" s="99"/>
      <c r="H39" s="99"/>
      <c r="I39" s="99"/>
    </row>
    <row r="40" spans="2:9" ht="15">
      <c r="B40" s="97"/>
      <c r="C40" s="98"/>
      <c r="D40" s="98"/>
      <c r="E40" s="99"/>
      <c r="F40" s="99"/>
      <c r="G40" s="99"/>
      <c r="H40" s="99"/>
      <c r="I40" s="99"/>
    </row>
    <row r="41" spans="2:9" ht="15">
      <c r="B41" s="97"/>
      <c r="C41" s="98"/>
      <c r="D41" s="98"/>
      <c r="E41" s="99"/>
      <c r="F41" s="99"/>
      <c r="G41" s="99"/>
      <c r="H41" s="99"/>
      <c r="I41" s="99"/>
    </row>
    <row r="42" spans="2:9" ht="15">
      <c r="B42" s="97"/>
      <c r="C42" s="98"/>
      <c r="D42" s="98"/>
      <c r="E42" s="99"/>
      <c r="F42" s="99"/>
      <c r="G42" s="99"/>
      <c r="H42" s="99"/>
      <c r="I42" s="99"/>
    </row>
    <row r="43" spans="2:9" ht="15">
      <c r="B43" s="97"/>
      <c r="C43" s="98"/>
      <c r="D43" s="98"/>
      <c r="E43" s="99"/>
      <c r="F43" s="99"/>
      <c r="G43" s="99"/>
      <c r="H43" s="99"/>
      <c r="I43" s="99"/>
    </row>
    <row r="44" spans="2:9" ht="15">
      <c r="B44" s="97"/>
      <c r="C44" s="98"/>
      <c r="D44" s="98"/>
      <c r="E44" s="99"/>
      <c r="F44" s="99"/>
      <c r="G44" s="99"/>
      <c r="H44" s="99"/>
      <c r="I44" s="99"/>
    </row>
    <row r="45" spans="2:9" ht="15">
      <c r="B45" s="97"/>
      <c r="C45" s="98"/>
      <c r="D45" s="98"/>
      <c r="E45" s="99"/>
      <c r="F45" s="99"/>
      <c r="G45" s="99"/>
      <c r="H45" s="99"/>
      <c r="I45" s="99"/>
    </row>
    <row r="46" spans="2:9" ht="15">
      <c r="B46" s="97"/>
      <c r="C46" s="98"/>
      <c r="D46" s="98"/>
      <c r="E46" s="99"/>
      <c r="F46" s="99"/>
      <c r="G46" s="99"/>
      <c r="H46" s="99"/>
      <c r="I46" s="99"/>
    </row>
    <row r="47" spans="2:9" ht="15">
      <c r="B47" s="97"/>
      <c r="C47" s="98"/>
      <c r="D47" s="98"/>
      <c r="E47" s="99"/>
      <c r="F47" s="99"/>
      <c r="G47" s="99"/>
      <c r="H47" s="99"/>
      <c r="I47" s="99"/>
    </row>
    <row r="48" spans="6:12" ht="4.5" customHeight="1">
      <c r="F48" s="56"/>
      <c r="G48" s="56"/>
      <c r="H48" s="56"/>
      <c r="I48" s="56"/>
      <c r="J48" s="56"/>
      <c r="K48" s="56"/>
      <c r="L48" s="56"/>
    </row>
    <row r="49" spans="2:12" ht="26.25" customHeight="1">
      <c r="B49" s="116" t="s">
        <v>131</v>
      </c>
      <c r="C49" s="117"/>
      <c r="D49" s="117"/>
      <c r="E49" s="117"/>
      <c r="F49" s="56"/>
      <c r="G49" s="56"/>
      <c r="H49" s="56"/>
      <c r="I49" s="56"/>
      <c r="J49" s="56"/>
      <c r="K49" s="56"/>
      <c r="L49" s="56"/>
    </row>
    <row r="50" spans="6:12" ht="4.5" customHeight="1" thickBot="1">
      <c r="F50" s="56"/>
      <c r="G50" s="56"/>
      <c r="H50" s="56"/>
      <c r="I50" s="56"/>
      <c r="J50" s="56"/>
      <c r="K50" s="56"/>
      <c r="L50" s="56"/>
    </row>
    <row r="51" spans="2:12" s="55" customFormat="1" ht="19.5" customHeight="1" thickBot="1" thickTop="1">
      <c r="B51" s="51" t="s">
        <v>110</v>
      </c>
      <c r="C51" s="52">
        <v>51</v>
      </c>
      <c r="D51" s="53"/>
      <c r="E51" s="54" t="s">
        <v>68</v>
      </c>
      <c r="G51" s="56"/>
      <c r="H51" s="56"/>
      <c r="I51" s="56"/>
      <c r="J51" s="56"/>
      <c r="K51" s="56"/>
      <c r="L51" s="56"/>
    </row>
    <row r="52" spans="2:12" s="55" customFormat="1" ht="19.5" customHeight="1" thickBot="1">
      <c r="B52" s="102" t="s">
        <v>127</v>
      </c>
      <c r="C52" s="103">
        <v>7.5</v>
      </c>
      <c r="D52" s="104"/>
      <c r="E52" s="105" t="s">
        <v>1</v>
      </c>
      <c r="F52" s="56"/>
      <c r="H52" s="56"/>
      <c r="I52" s="56"/>
      <c r="J52" s="56"/>
      <c r="K52" s="56"/>
      <c r="L52" s="56"/>
    </row>
    <row r="53" spans="2:12" s="55" customFormat="1" ht="19.5" customHeight="1" thickBot="1">
      <c r="B53" s="102" t="s">
        <v>132</v>
      </c>
      <c r="C53" s="103">
        <v>3</v>
      </c>
      <c r="D53" s="104"/>
      <c r="E53" s="105" t="s">
        <v>130</v>
      </c>
      <c r="F53" s="56"/>
      <c r="G53" s="111" t="s">
        <v>135</v>
      </c>
      <c r="H53" s="56"/>
      <c r="I53" s="56"/>
      <c r="J53" s="56"/>
      <c r="K53" s="56"/>
      <c r="L53" s="56"/>
    </row>
    <row r="54" spans="2:12" s="55" customFormat="1" ht="19.5" customHeight="1" thickBot="1" thickTop="1">
      <c r="B54" s="58" t="s">
        <v>133</v>
      </c>
      <c r="C54" s="106">
        <f>C52*C53/C51</f>
        <v>0.4411764705882353</v>
      </c>
      <c r="D54" s="72"/>
      <c r="E54" s="73" t="s">
        <v>130</v>
      </c>
      <c r="G54" s="109">
        <v>0.44</v>
      </c>
      <c r="H54" s="53"/>
      <c r="I54" s="69" t="s">
        <v>130</v>
      </c>
      <c r="J54" s="56"/>
      <c r="K54" s="56"/>
      <c r="L54" s="56"/>
    </row>
    <row r="55" spans="2:12" s="55" customFormat="1" ht="19.5" customHeight="1" thickBot="1">
      <c r="B55" s="102" t="s">
        <v>113</v>
      </c>
      <c r="C55" s="59">
        <v>9.3</v>
      </c>
      <c r="D55" s="104"/>
      <c r="E55" s="105" t="s">
        <v>134</v>
      </c>
      <c r="F55" s="56"/>
      <c r="G55" s="110">
        <v>9.4</v>
      </c>
      <c r="H55" s="60"/>
      <c r="I55" s="105" t="s">
        <v>134</v>
      </c>
      <c r="J55" s="56"/>
      <c r="K55" s="56"/>
      <c r="L55" s="56"/>
    </row>
    <row r="56" spans="2:12" s="55" customFormat="1" ht="19.5" customHeight="1" thickBot="1">
      <c r="B56" s="58" t="s">
        <v>129</v>
      </c>
      <c r="C56" s="59">
        <v>50</v>
      </c>
      <c r="D56" s="60"/>
      <c r="E56" s="61" t="s">
        <v>126</v>
      </c>
      <c r="F56" s="56"/>
      <c r="G56" s="110">
        <v>50</v>
      </c>
      <c r="H56" s="60"/>
      <c r="I56" s="61" t="s">
        <v>126</v>
      </c>
      <c r="J56" s="56"/>
      <c r="K56" s="56"/>
      <c r="L56" s="56"/>
    </row>
    <row r="57" spans="2:12" s="55" customFormat="1" ht="19.5" customHeight="1" thickBot="1">
      <c r="B57" s="62" t="s">
        <v>125</v>
      </c>
      <c r="C57" s="107">
        <f>C54*(1/C56/2)/(C55)*1000000</f>
        <v>474.3833017077798</v>
      </c>
      <c r="D57" s="101"/>
      <c r="E57" s="65" t="s">
        <v>128</v>
      </c>
      <c r="F57" s="56"/>
      <c r="G57" s="107">
        <f>G54*(1/G56/2)/(G55)*1000000</f>
        <v>468.0851063829787</v>
      </c>
      <c r="H57" s="101"/>
      <c r="I57" s="65" t="s">
        <v>128</v>
      </c>
      <c r="J57" s="56"/>
      <c r="K57" s="56"/>
      <c r="L57" s="56"/>
    </row>
    <row r="58" ht="15.75" thickTop="1"/>
  </sheetData>
  <sheetProtection/>
  <mergeCells count="3">
    <mergeCell ref="B2:K2"/>
    <mergeCell ref="B49:E49"/>
    <mergeCell ref="G11:J11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V199"/>
  <sheetViews>
    <sheetView showGridLines="0" workbookViewId="0" topLeftCell="A1">
      <selection activeCell="D52" sqref="D52"/>
    </sheetView>
  </sheetViews>
  <sheetFormatPr defaultColWidth="9.00390625" defaultRowHeight="10.5" customHeight="1"/>
  <cols>
    <col min="1" max="1" width="3.875" style="31" customWidth="1"/>
    <col min="2" max="2" width="14.875" style="31" customWidth="1"/>
    <col min="3" max="3" width="10.00390625" style="32" customWidth="1"/>
    <col min="4" max="4" width="4.625" style="33" customWidth="1"/>
    <col min="5" max="5" width="10.75390625" style="34" customWidth="1"/>
    <col min="6" max="6" width="38.75390625" style="30" customWidth="1"/>
    <col min="7" max="16384" width="9.00390625" style="31" customWidth="1"/>
  </cols>
  <sheetData>
    <row r="1" spans="2:9" s="27" customFormat="1" ht="14.25">
      <c r="B1" s="46" t="s">
        <v>91</v>
      </c>
      <c r="C1" s="47"/>
      <c r="D1" s="47"/>
      <c r="E1" s="45"/>
      <c r="F1" s="45"/>
      <c r="G1" s="48"/>
      <c r="H1" s="47"/>
      <c r="I1" s="45"/>
    </row>
    <row r="3" spans="2:5" s="38" customFormat="1" ht="10.5" customHeight="1">
      <c r="B3" s="35" t="s">
        <v>83</v>
      </c>
      <c r="C3" s="36"/>
      <c r="D3" s="35"/>
      <c r="E3" s="37">
        <f>'自己设计'!C4</f>
        <v>51</v>
      </c>
    </row>
    <row r="4" spans="2:5" s="38" customFormat="1" ht="10.5" customHeight="1">
      <c r="B4" s="35" t="s">
        <v>58</v>
      </c>
      <c r="C4" s="36"/>
      <c r="D4" s="35"/>
      <c r="E4" s="37">
        <f>'自己设计'!C5</f>
        <v>7.5</v>
      </c>
    </row>
    <row r="5" spans="2:5" s="38" customFormat="1" ht="10.5" customHeight="1">
      <c r="B5" s="35" t="s">
        <v>84</v>
      </c>
      <c r="C5" s="36"/>
      <c r="D5" s="35"/>
      <c r="E5" s="35">
        <f>'自己设计'!C6</f>
        <v>5000</v>
      </c>
    </row>
    <row r="6" spans="2:5" s="38" customFormat="1" ht="10.5" customHeight="1">
      <c r="B6" s="35" t="s">
        <v>85</v>
      </c>
      <c r="C6" s="36"/>
      <c r="D6" s="35"/>
      <c r="E6" s="35">
        <f>'自己设计'!C7</f>
        <v>100</v>
      </c>
    </row>
    <row r="7" spans="2:5" s="38" customFormat="1" ht="10.5" customHeight="1">
      <c r="B7" s="35" t="s">
        <v>86</v>
      </c>
      <c r="C7" s="36"/>
      <c r="D7" s="35"/>
      <c r="E7" s="35">
        <f>'自己设计'!C8</f>
        <v>10</v>
      </c>
    </row>
    <row r="8" spans="3:5" s="38" customFormat="1" ht="10.5" customHeight="1">
      <c r="C8" s="36"/>
      <c r="D8" s="35"/>
      <c r="E8" s="39"/>
    </row>
    <row r="9" spans="2:5" s="38" customFormat="1" ht="10.5" customHeight="1">
      <c r="B9" s="40" t="s">
        <v>77</v>
      </c>
      <c r="C9" s="36"/>
      <c r="D9" s="35"/>
      <c r="E9" s="39">
        <f>1/E7/1000</f>
        <v>0.0001</v>
      </c>
    </row>
    <row r="10" spans="2:6" s="38" customFormat="1" ht="10.5" customHeight="1">
      <c r="B10" s="40" t="s">
        <v>78</v>
      </c>
      <c r="C10" s="36"/>
      <c r="D10" s="35"/>
      <c r="E10" s="39">
        <f>(E4+0.7)/(E3-0.4-E4)</f>
        <v>0.19025522041763337</v>
      </c>
      <c r="F10" s="38" t="s">
        <v>79</v>
      </c>
    </row>
    <row r="11" spans="2:6" s="38" customFormat="1" ht="10.5" customHeight="1">
      <c r="B11" s="40" t="s">
        <v>60</v>
      </c>
      <c r="C11" s="36"/>
      <c r="D11" s="35"/>
      <c r="E11" s="39">
        <f>1/(1/E10+1)</f>
        <v>0.15984405458089668</v>
      </c>
      <c r="F11" s="38" t="s">
        <v>80</v>
      </c>
    </row>
    <row r="12" spans="2:5" s="38" customFormat="1" ht="10.5" customHeight="1">
      <c r="B12" s="40" t="s">
        <v>52</v>
      </c>
      <c r="C12" s="36"/>
      <c r="D12" s="35"/>
      <c r="E12" s="39">
        <f>E9*E11</f>
        <v>1.5984405458089668E-05</v>
      </c>
    </row>
    <row r="13" spans="2:5" s="38" customFormat="1" ht="10.5" customHeight="1">
      <c r="B13" s="40" t="s">
        <v>53</v>
      </c>
      <c r="C13" s="36"/>
      <c r="D13" s="35"/>
      <c r="E13" s="39">
        <f>E9-E12</f>
        <v>8.401559454191033E-05</v>
      </c>
    </row>
    <row r="14" spans="2:6" s="38" customFormat="1" ht="10.5" customHeight="1">
      <c r="B14" s="35" t="s">
        <v>45</v>
      </c>
      <c r="C14" s="36">
        <f>E14*1000000000000</f>
        <v>639.3762183235868</v>
      </c>
      <c r="D14" s="35" t="s">
        <v>46</v>
      </c>
      <c r="E14" s="39">
        <f>0.00004*E12</f>
        <v>6.393762183235868E-10</v>
      </c>
      <c r="F14" s="38" t="s">
        <v>54</v>
      </c>
    </row>
    <row r="15" spans="2:6" s="38" customFormat="1" ht="10.5" customHeight="1">
      <c r="B15" s="35" t="s">
        <v>51</v>
      </c>
      <c r="C15" s="36">
        <f>E15</f>
        <v>10000</v>
      </c>
      <c r="D15" s="35" t="s">
        <v>49</v>
      </c>
      <c r="E15" s="39">
        <f>2*E5</f>
        <v>10000</v>
      </c>
      <c r="F15" s="38" t="s">
        <v>55</v>
      </c>
    </row>
    <row r="16" spans="2:6" s="38" customFormat="1" ht="10.5" customHeight="1">
      <c r="B16" s="35" t="s">
        <v>47</v>
      </c>
      <c r="C16" s="41">
        <f>E16</f>
        <v>0.03</v>
      </c>
      <c r="D16" s="35" t="s">
        <v>71</v>
      </c>
      <c r="E16" s="39">
        <f>0.3/E15*1000</f>
        <v>0.03</v>
      </c>
      <c r="F16" s="38" t="s">
        <v>56</v>
      </c>
    </row>
    <row r="17" spans="2:4" s="30" customFormat="1" ht="10.5" customHeight="1">
      <c r="B17" s="83" t="s">
        <v>124</v>
      </c>
      <c r="C17" s="84">
        <f>E5*E4/E3*0.3/1000</f>
        <v>0.2205882352941176</v>
      </c>
      <c r="D17" s="85" t="s">
        <v>89</v>
      </c>
    </row>
    <row r="18" spans="2:6" s="38" customFormat="1" ht="10.5" customHeight="1">
      <c r="B18" s="35" t="s">
        <v>48</v>
      </c>
      <c r="C18" s="36">
        <f>E18*1000000</f>
        <v>68.89278752436648</v>
      </c>
      <c r="D18" s="35" t="s">
        <v>50</v>
      </c>
      <c r="E18" s="39">
        <f>(E3-0.4-E4)*E12/E15*1000</f>
        <v>6.889278752436648E-05</v>
      </c>
      <c r="F18" s="38" t="s">
        <v>81</v>
      </c>
    </row>
    <row r="19" spans="2:6" s="38" customFormat="1" ht="10.5" customHeight="1">
      <c r="B19" s="35" t="s">
        <v>59</v>
      </c>
      <c r="C19" s="36">
        <f>E19*1000000</f>
        <v>1250</v>
      </c>
      <c r="D19" s="35" t="s">
        <v>72</v>
      </c>
      <c r="E19" s="39">
        <f>E15/1000*E9/8/E6*1000</f>
        <v>0.00125</v>
      </c>
      <c r="F19" s="38" t="s">
        <v>61</v>
      </c>
    </row>
    <row r="20" spans="2:5" s="38" customFormat="1" ht="10.5" customHeight="1">
      <c r="B20" s="35" t="s">
        <v>66</v>
      </c>
      <c r="C20" s="42">
        <f>'自己设计'!C16</f>
        <v>1</v>
      </c>
      <c r="D20" s="35" t="s">
        <v>73</v>
      </c>
      <c r="E20" s="39" t="s">
        <v>82</v>
      </c>
    </row>
    <row r="21" spans="2:5" s="38" customFormat="1" ht="10.5" customHeight="1">
      <c r="B21" s="35" t="s">
        <v>74</v>
      </c>
      <c r="C21" s="42">
        <f>C20/1.25*(E4-1.25)</f>
        <v>5</v>
      </c>
      <c r="D21" s="35" t="s">
        <v>73</v>
      </c>
      <c r="E21" s="39"/>
    </row>
    <row r="22" spans="2:5" s="38" customFormat="1" ht="10.5" customHeight="1">
      <c r="B22" s="35" t="s">
        <v>88</v>
      </c>
      <c r="C22" s="43">
        <f>(E4-1.25)^2/C21/1000</f>
        <v>0.0078125</v>
      </c>
      <c r="D22" s="35" t="s">
        <v>89</v>
      </c>
      <c r="E22" s="39"/>
    </row>
    <row r="23" spans="2:4" s="38" customFormat="1" ht="10.5" customHeight="1">
      <c r="B23" s="35" t="s">
        <v>115</v>
      </c>
      <c r="C23" s="42">
        <f>'自己设计'!C19</f>
        <v>20</v>
      </c>
      <c r="D23" s="39" t="s">
        <v>108</v>
      </c>
    </row>
    <row r="24" spans="2:4" s="38" customFormat="1" ht="10.5" customHeight="1">
      <c r="B24" s="35" t="s">
        <v>116</v>
      </c>
      <c r="C24" s="43">
        <f>C16*C23</f>
        <v>0.6</v>
      </c>
      <c r="D24" s="39" t="s">
        <v>99</v>
      </c>
    </row>
    <row r="25" spans="2:4" s="30" customFormat="1" ht="10.5" customHeight="1">
      <c r="B25" s="83" t="s">
        <v>117</v>
      </c>
      <c r="C25" s="84">
        <f>(C15/1000/C23)^2*C24</f>
        <v>0.15</v>
      </c>
      <c r="D25" s="85" t="s">
        <v>89</v>
      </c>
    </row>
    <row r="26" spans="2:5" s="38" customFormat="1" ht="10.5" customHeight="1">
      <c r="B26" s="38" t="s">
        <v>57</v>
      </c>
      <c r="C26" s="36"/>
      <c r="D26" s="35"/>
      <c r="E26" s="39"/>
    </row>
    <row r="27" spans="2:5" s="38" customFormat="1" ht="10.5" customHeight="1">
      <c r="B27" s="38" t="s">
        <v>62</v>
      </c>
      <c r="C27" s="36"/>
      <c r="D27" s="35"/>
      <c r="E27" s="39"/>
    </row>
    <row r="28" spans="2:5" s="38" customFormat="1" ht="10.5" customHeight="1">
      <c r="B28" s="38" t="s">
        <v>63</v>
      </c>
      <c r="C28" s="36"/>
      <c r="D28" s="35"/>
      <c r="E28" s="39"/>
    </row>
    <row r="29" spans="2:5" s="38" customFormat="1" ht="10.5" customHeight="1">
      <c r="B29" s="38" t="s">
        <v>64</v>
      </c>
      <c r="C29" s="36"/>
      <c r="D29" s="35"/>
      <c r="E29" s="39"/>
    </row>
    <row r="30" spans="2:5" s="38" customFormat="1" ht="10.5" customHeight="1">
      <c r="B30" s="38" t="s">
        <v>65</v>
      </c>
      <c r="C30" s="36"/>
      <c r="D30" s="35"/>
      <c r="E30" s="39"/>
    </row>
    <row r="31" spans="2:5" s="38" customFormat="1" ht="10.5" customHeight="1">
      <c r="B31" s="38" t="s">
        <v>4</v>
      </c>
      <c r="C31" s="36"/>
      <c r="D31" s="35"/>
      <c r="E31" s="39"/>
    </row>
    <row r="32" spans="3:5" s="38" customFormat="1" ht="10.5" customHeight="1">
      <c r="C32" s="36"/>
      <c r="D32" s="35"/>
      <c r="E32" s="39"/>
    </row>
    <row r="33" spans="3:5" s="38" customFormat="1" ht="10.5" customHeight="1">
      <c r="C33" s="36"/>
      <c r="D33" s="35"/>
      <c r="E33" s="39"/>
    </row>
    <row r="34" spans="3:5" s="38" customFormat="1" ht="10.5" customHeight="1">
      <c r="C34" s="36"/>
      <c r="D34" s="35"/>
      <c r="E34" s="39"/>
    </row>
    <row r="35" spans="3:5" s="38" customFormat="1" ht="10.5" customHeight="1">
      <c r="C35" s="36"/>
      <c r="D35" s="35"/>
      <c r="E35" s="39"/>
    </row>
    <row r="199" spans="21:22" ht="10.5" customHeight="1">
      <c r="U199" s="31" t="s">
        <v>139</v>
      </c>
      <c r="V199" s="123" t="s">
        <v>140</v>
      </c>
    </row>
  </sheetData>
  <sheetProtection password="C66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showGridLines="0" workbookViewId="0" topLeftCell="A1">
      <selection activeCell="B72" sqref="B72"/>
    </sheetView>
  </sheetViews>
  <sheetFormatPr defaultColWidth="9.00390625" defaultRowHeight="14.25"/>
  <cols>
    <col min="1" max="1" width="23.25390625" style="2" customWidth="1"/>
    <col min="2" max="5" width="23.25390625" style="3" customWidth="1"/>
    <col min="6" max="16384" width="23.25390625" style="2" customWidth="1"/>
  </cols>
  <sheetData>
    <row r="1" spans="1:9" s="27" customFormat="1" ht="14.25">
      <c r="A1" s="46"/>
      <c r="B1" s="46" t="s">
        <v>91</v>
      </c>
      <c r="C1" s="47"/>
      <c r="D1" s="47"/>
      <c r="E1" s="45"/>
      <c r="F1" s="45"/>
      <c r="G1" s="48"/>
      <c r="H1" s="47"/>
      <c r="I1" s="45"/>
    </row>
    <row r="2" ht="14.25"/>
    <row r="3" spans="1:6" ht="14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ht="14.25">
      <c r="A4" s="4" t="s">
        <v>0</v>
      </c>
      <c r="B4" s="4" t="s">
        <v>11</v>
      </c>
      <c r="C4" s="4" t="s">
        <v>1</v>
      </c>
      <c r="D4" s="4" t="s">
        <v>12</v>
      </c>
      <c r="E4" s="4" t="s">
        <v>12</v>
      </c>
      <c r="F4" s="4" t="s">
        <v>12</v>
      </c>
    </row>
    <row r="5" spans="1:6" ht="14.25">
      <c r="A5" s="4" t="s">
        <v>2</v>
      </c>
      <c r="B5" s="4" t="s">
        <v>13</v>
      </c>
      <c r="C5" s="4" t="s">
        <v>1</v>
      </c>
      <c r="D5" s="4" t="s">
        <v>14</v>
      </c>
      <c r="E5" s="4" t="s">
        <v>14</v>
      </c>
      <c r="F5" s="4" t="s">
        <v>14</v>
      </c>
    </row>
    <row r="6" spans="1:6" ht="14.25">
      <c r="A6" s="4" t="s">
        <v>15</v>
      </c>
      <c r="B6" s="4" t="s">
        <v>16</v>
      </c>
      <c r="C6" s="4" t="s">
        <v>17</v>
      </c>
      <c r="D6" s="4" t="s">
        <v>18</v>
      </c>
      <c r="E6" s="4" t="s">
        <v>18</v>
      </c>
      <c r="F6" s="4" t="s">
        <v>19</v>
      </c>
    </row>
    <row r="7" spans="1:6" ht="14.25">
      <c r="A7" s="4" t="s">
        <v>20</v>
      </c>
      <c r="B7" s="4" t="s">
        <v>21</v>
      </c>
      <c r="C7" s="4" t="s">
        <v>3</v>
      </c>
      <c r="D7" s="4" t="s">
        <v>22</v>
      </c>
      <c r="E7" s="4" t="s">
        <v>22</v>
      </c>
      <c r="F7" s="4" t="s">
        <v>22</v>
      </c>
    </row>
    <row r="8" spans="1:6" ht="14.25">
      <c r="A8" s="4" t="s">
        <v>23</v>
      </c>
      <c r="B8" s="4" t="s">
        <v>24</v>
      </c>
      <c r="C8" s="4" t="s">
        <v>25</v>
      </c>
      <c r="D8" s="4" t="s">
        <v>26</v>
      </c>
      <c r="E8" s="4" t="s">
        <v>26</v>
      </c>
      <c r="F8" s="4" t="s">
        <v>27</v>
      </c>
    </row>
    <row r="9" spans="1:6" ht="14.25">
      <c r="A9" s="4" t="s">
        <v>28</v>
      </c>
      <c r="B9" s="4" t="s">
        <v>29</v>
      </c>
      <c r="C9" s="4" t="s">
        <v>30</v>
      </c>
      <c r="D9" s="4" t="s">
        <v>31</v>
      </c>
      <c r="E9" s="4" t="s">
        <v>31</v>
      </c>
      <c r="F9" s="4" t="s">
        <v>31</v>
      </c>
    </row>
    <row r="12" spans="2:4" ht="14.25">
      <c r="B12" s="7" t="s">
        <v>32</v>
      </c>
      <c r="C12" s="8"/>
      <c r="D12" s="9"/>
    </row>
    <row r="13" spans="2:4" ht="14.25">
      <c r="B13" s="10"/>
      <c r="C13" s="6"/>
      <c r="D13" s="11"/>
    </row>
    <row r="14" spans="2:4" ht="14.25">
      <c r="B14" s="12" t="s">
        <v>33</v>
      </c>
      <c r="C14" s="6"/>
      <c r="D14" s="11"/>
    </row>
    <row r="15" spans="2:4" ht="14.25">
      <c r="B15" s="10"/>
      <c r="C15" s="6"/>
      <c r="D15" s="11"/>
    </row>
    <row r="16" spans="2:4" ht="14.25">
      <c r="B16" s="12" t="s">
        <v>34</v>
      </c>
      <c r="C16" s="6"/>
      <c r="D16" s="11"/>
    </row>
    <row r="17" spans="2:4" ht="14.25">
      <c r="B17" s="10"/>
      <c r="C17" s="6"/>
      <c r="D17" s="11"/>
    </row>
    <row r="18" spans="2:4" ht="14.25">
      <c r="B18" s="12" t="s">
        <v>35</v>
      </c>
      <c r="C18" s="6"/>
      <c r="D18" s="11"/>
    </row>
    <row r="19" spans="2:4" ht="14.25">
      <c r="B19" s="10"/>
      <c r="C19" s="6"/>
      <c r="D19" s="11"/>
    </row>
    <row r="20" spans="2:4" ht="14.25">
      <c r="B20" s="12" t="s">
        <v>36</v>
      </c>
      <c r="C20" s="6"/>
      <c r="D20" s="11"/>
    </row>
    <row r="21" spans="2:4" ht="14.25">
      <c r="B21" s="10"/>
      <c r="C21" s="6"/>
      <c r="D21" s="11"/>
    </row>
    <row r="22" spans="2:4" ht="14.25">
      <c r="B22" s="12" t="s">
        <v>37</v>
      </c>
      <c r="C22" s="6"/>
      <c r="D22" s="11"/>
    </row>
    <row r="23" spans="2:4" ht="14.25">
      <c r="B23" s="10"/>
      <c r="C23" s="6"/>
      <c r="D23" s="11"/>
    </row>
    <row r="24" spans="2:4" ht="14.25">
      <c r="B24" s="12" t="s">
        <v>38</v>
      </c>
      <c r="C24" s="6"/>
      <c r="D24" s="11"/>
    </row>
    <row r="25" spans="2:4" ht="14.25">
      <c r="B25" s="10"/>
      <c r="C25" s="6"/>
      <c r="D25" s="11"/>
    </row>
    <row r="26" spans="2:4" ht="14.25">
      <c r="B26" s="13" t="s">
        <v>39</v>
      </c>
      <c r="C26" s="6"/>
      <c r="D26" s="11"/>
    </row>
    <row r="27" spans="2:4" ht="14.25">
      <c r="B27" s="10"/>
      <c r="C27" s="6"/>
      <c r="D27" s="11"/>
    </row>
    <row r="28" spans="2:4" ht="14.25">
      <c r="B28" s="13" t="s">
        <v>40</v>
      </c>
      <c r="C28" s="6"/>
      <c r="D28" s="11"/>
    </row>
    <row r="29" spans="2:4" ht="14.25">
      <c r="B29" s="10"/>
      <c r="C29" s="6"/>
      <c r="D29" s="11"/>
    </row>
    <row r="30" spans="2:4" ht="14.25">
      <c r="B30" s="13" t="s">
        <v>41</v>
      </c>
      <c r="C30" s="6"/>
      <c r="D30" s="11"/>
    </row>
    <row r="31" spans="2:4" ht="14.25">
      <c r="B31" s="14"/>
      <c r="C31" s="15"/>
      <c r="D31" s="16"/>
    </row>
    <row r="32" ht="14.25">
      <c r="B32" s="5" t="s">
        <v>42</v>
      </c>
    </row>
    <row r="33" ht="14.25">
      <c r="B33"/>
    </row>
    <row r="34" ht="14.25">
      <c r="B34" s="1" t="s">
        <v>43</v>
      </c>
    </row>
    <row r="35" ht="14.25">
      <c r="B35"/>
    </row>
    <row r="36" ht="14.25">
      <c r="B36" s="1" t="s">
        <v>44</v>
      </c>
    </row>
    <row r="39" spans="1:5" ht="341.25" customHeight="1">
      <c r="A39" s="119" t="s">
        <v>67</v>
      </c>
      <c r="B39" s="120"/>
      <c r="C39" s="120"/>
      <c r="D39" s="120"/>
      <c r="E39" s="121"/>
    </row>
  </sheetData>
  <mergeCells count="1">
    <mergeCell ref="A39:E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BU2947"/>
  <sheetViews>
    <sheetView showGridLines="0" workbookViewId="0" topLeftCell="A1">
      <selection activeCell="B44" sqref="B44"/>
    </sheetView>
  </sheetViews>
  <sheetFormatPr defaultColWidth="9.00390625" defaultRowHeight="14.25"/>
  <cols>
    <col min="1" max="1" width="31.00390625" style="0" customWidth="1"/>
    <col min="2" max="2" width="74.25390625" style="0" customWidth="1"/>
  </cols>
  <sheetData>
    <row r="1" ht="113.25" customHeight="1"/>
    <row r="2" s="50" customFormat="1" ht="61.5" customHeight="1">
      <c r="B2" s="49" t="s">
        <v>87</v>
      </c>
    </row>
    <row r="2947" spans="72:73" ht="14.25">
      <c r="BT2947" t="s">
        <v>75</v>
      </c>
      <c r="BU2947" s="29" t="s">
        <v>76</v>
      </c>
    </row>
  </sheetData>
  <hyperlinks>
    <hyperlink ref="B2" r:id="rId1" display="www.dianyuan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showGridLines="0" workbookViewId="0" topLeftCell="A1">
      <selection activeCell="B49" sqref="B49"/>
    </sheetView>
  </sheetViews>
  <sheetFormatPr defaultColWidth="9.00390625" defaultRowHeight="14.25"/>
  <cols>
    <col min="1" max="1" width="12.375" style="0" customWidth="1"/>
    <col min="2" max="2" width="77.625" style="0" customWidth="1"/>
  </cols>
  <sheetData>
    <row r="1" ht="59.25" customHeight="1">
      <c r="A1" t="s">
        <v>93</v>
      </c>
    </row>
    <row r="2" ht="90" customHeight="1">
      <c r="B2" s="122" t="s">
        <v>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dcterms:created xsi:type="dcterms:W3CDTF">2008-10-06T01:16:24Z</dcterms:created>
  <dcterms:modified xsi:type="dcterms:W3CDTF">2008-10-20T07:24:12Z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