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<sst xmlns="http://schemas.openxmlformats.org/spreadsheetml/2006/main" count="37" uniqueCount="36">
  <si>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槽宽</t>
  </si>
  <si>
    <t>槽深</t>
  </si>
  <si>
    <t>底边周长</t>
  </si>
  <si>
    <t>绕组号</t>
  </si>
  <si>
    <t>圈数</t>
  </si>
  <si>
    <t>每层圈数</t>
  </si>
  <si>
    <t>绕线层数</t>
  </si>
  <si>
    <t>线外径</t>
  </si>
  <si>
    <t>线规格</t>
  </si>
  <si>
    <t>留头长度</t>
  </si>
  <si>
    <t>留头数量</t>
  </si>
  <si>
    <t>股数</t>
  </si>
  <si>
    <t>直流电阻
最大值(Ω)</t>
  </si>
  <si>
    <t>线重量
(g)</t>
  </si>
  <si>
    <t>绕线长度
(mm)</t>
  </si>
  <si>
    <t>单位线重
(g/m)</t>
  </si>
  <si>
    <t>单位长度电阻
(Ω/km)</t>
  </si>
  <si>
    <t>绕线宽度
(mm)</t>
  </si>
  <si>
    <t>绕线高度
(mm)</t>
  </si>
  <si>
    <t>隔条1宽度
(mm)</t>
  </si>
  <si>
    <t>隔条2宽度
(mm)</t>
  </si>
  <si>
    <t>隔条1长度
(mm)</t>
  </si>
  <si>
    <t>隔条1圈数</t>
  </si>
  <si>
    <t>隔条2圈数</t>
  </si>
  <si>
    <t>胶带长度
(mm)</t>
  </si>
  <si>
    <t>绕线高度
余量(mm)</t>
  </si>
  <si>
    <t>总高度
(mm)</t>
  </si>
  <si>
    <t>隔条2长度
(mm)</t>
  </si>
  <si>
    <t>隔条1宽度
(mm)</t>
  </si>
  <si>
    <t>隔条2宽度
(mm)</t>
  </si>
  <si>
    <t>绕线长度
(mm)</t>
  </si>
  <si>
    <t>线重量
(g)</t>
  </si>
  <si>
    <t>隔条1长度
(mm)</t>
  </si>
  <si>
    <t>胶带长度
(mm)</t>
  </si>
  <si>
    <t>层间绝缘</t>
  </si>
  <si>
    <t>组间绝缘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</si>
</sst>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000_ "/>
  </numFmts>
  <fonts count="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185" fontId="0" fillId="0" borderId="1" xfId="0" applyNumberFormat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185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185" fontId="0" fillId="0" borderId="0" xfId="0" applyNumberFormat="1" applyFill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4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8" sqref="A8"/>
    </sheetView>
  </sheetViews>
  <sheetFormatPr defaultColWidth="9.00390625" defaultRowHeight="14.25"/>
  <cols>
    <col min="1" max="1" width="7.50390625" style="0" bestFit="1" customWidth="1"/>
    <col min="2" max="2" width="8.625" style="0" customWidth="1"/>
    <col min="3" max="3" width="5.50390625" style="0" bestFit="1" customWidth="1"/>
    <col min="4" max="5" width="9.50390625" style="0" bestFit="1" customWidth="1"/>
    <col min="6" max="6" width="7.50390625" style="0" bestFit="1" customWidth="1"/>
    <col min="7" max="7" width="9.50390625" style="0" bestFit="1" customWidth="1"/>
    <col min="8" max="8" width="13.875" style="0" bestFit="1" customWidth="1"/>
    <col min="9" max="9" width="8.50390625" style="0" bestFit="1" customWidth="1"/>
    <col min="10" max="11" width="10.50390625" style="0" bestFit="1" customWidth="1"/>
    <col min="12" max="13" width="10.50390625" style="0" customWidth="1"/>
    <col min="14" max="18" width="9.50390625" style="0" bestFit="1" customWidth="1"/>
    <col min="19" max="20" width="11.625" style="0" bestFit="1" customWidth="1"/>
    <col min="21" max="21" width="10.00390625" style="0" customWidth="1"/>
    <col min="22" max="22" width="10.25390625" style="0" customWidth="1"/>
  </cols>
  <sheetData>
    <row r="1" spans="1:23" ht="28.5">
      <c r="A1" t="s">
        <v>0</v>
      </c>
      <c r="B1" s="15">
        <v>10.25</v>
      </c>
      <c r="C1" t="s">
        <v>1</v>
      </c>
      <c r="D1">
        <v>4.3</v>
      </c>
      <c r="E1" t="s">
        <v>2</v>
      </c>
      <c r="F1">
        <v>46.4</v>
      </c>
      <c r="J1" s="2" t="s">
        <v>28</v>
      </c>
      <c r="K1" s="2" t="s">
        <v>29</v>
      </c>
      <c r="R1" s="6" t="s">
        <v>30</v>
      </c>
      <c r="S1" s="6" t="s">
        <v>31</v>
      </c>
      <c r="U1" s="2" t="s">
        <v>32</v>
      </c>
      <c r="V1" s="2" t="s">
        <v>27</v>
      </c>
      <c r="W1" s="2" t="s">
        <v>33</v>
      </c>
    </row>
    <row r="2" spans="10:11" ht="14.25">
      <c r="J2">
        <v>1.5</v>
      </c>
      <c r="K2">
        <v>1.5</v>
      </c>
    </row>
    <row r="3" spans="1:23" s="1" customFormat="1" ht="28.5">
      <c r="A3" s="1" t="s">
        <v>3</v>
      </c>
      <c r="B3" s="5" t="s">
        <v>8</v>
      </c>
      <c r="C3" s="5" t="s">
        <v>11</v>
      </c>
      <c r="D3" s="5" t="s">
        <v>9</v>
      </c>
      <c r="E3" s="5" t="s">
        <v>10</v>
      </c>
      <c r="F3" s="5" t="s">
        <v>7</v>
      </c>
      <c r="G3" s="6" t="s">
        <v>15</v>
      </c>
      <c r="H3" s="6" t="s">
        <v>16</v>
      </c>
      <c r="I3" s="5" t="s">
        <v>4</v>
      </c>
      <c r="J3" s="2" t="s">
        <v>19</v>
      </c>
      <c r="K3" s="2" t="s">
        <v>20</v>
      </c>
      <c r="L3" s="2" t="s">
        <v>22</v>
      </c>
      <c r="M3" s="2" t="s">
        <v>23</v>
      </c>
      <c r="N3" s="5" t="s">
        <v>5</v>
      </c>
      <c r="O3" s="5" t="s">
        <v>6</v>
      </c>
      <c r="P3" s="6" t="s">
        <v>17</v>
      </c>
      <c r="Q3" s="6" t="s">
        <v>18</v>
      </c>
      <c r="R3" s="6" t="s">
        <v>14</v>
      </c>
      <c r="S3" s="6" t="s">
        <v>13</v>
      </c>
      <c r="T3" s="6" t="s">
        <v>12</v>
      </c>
      <c r="U3" s="2" t="s">
        <v>21</v>
      </c>
      <c r="V3" s="2" t="s">
        <v>27</v>
      </c>
      <c r="W3" s="2" t="s">
        <v>24</v>
      </c>
    </row>
    <row r="4" spans="2:22" ht="14.25">
      <c r="B4" s="7">
        <v>0.31</v>
      </c>
      <c r="C4" s="7">
        <v>1</v>
      </c>
      <c r="D4" s="7">
        <v>50</v>
      </c>
      <c r="E4" s="7">
        <f>C4*2</f>
        <v>2</v>
      </c>
      <c r="F4" s="7">
        <v>0.33</v>
      </c>
      <c r="G4" s="7">
        <v>0.66</v>
      </c>
      <c r="H4" s="7"/>
      <c r="I4" s="7">
        <v>39</v>
      </c>
      <c r="J4" s="7">
        <v>1.5</v>
      </c>
      <c r="K4" s="7">
        <v>1.5</v>
      </c>
      <c r="L4" s="7">
        <v>1</v>
      </c>
      <c r="M4" s="7">
        <v>1</v>
      </c>
      <c r="N4" s="7">
        <f>INT((B1-J4-K4)/F4/C4)</f>
        <v>21</v>
      </c>
      <c r="O4" s="7">
        <f>CEILING(I4/N4,1)</f>
        <v>2</v>
      </c>
      <c r="P4" s="7">
        <f>F4*C4*I4</f>
        <v>12.870000000000001</v>
      </c>
      <c r="Q4" s="7">
        <f>F4*O4+F5*I5*C5</f>
        <v>0.66</v>
      </c>
      <c r="R4" s="7">
        <f>(F1+Q4*3.14)*I4*C4+D4*E4</f>
        <v>1990.4236</v>
      </c>
      <c r="S4" s="7">
        <f>G4*R4/1000</f>
        <v>1.3136795760000002</v>
      </c>
      <c r="T4" s="8">
        <f>(R4-D4*E4)/C4/C4*H4/1000000</f>
        <v>0</v>
      </c>
      <c r="U4">
        <f>(R4-D4*E4)/I4/C4*L4+10</f>
        <v>58.4724</v>
      </c>
      <c r="V4">
        <f>(R4-D4*E4)/I4/C4*M4+10</f>
        <v>58.4724</v>
      </c>
    </row>
    <row r="5" spans="2:23" ht="14.25">
      <c r="B5" s="14" t="s">
        <v>34</v>
      </c>
      <c r="C5" s="14"/>
      <c r="D5" s="11"/>
      <c r="E5" s="11"/>
      <c r="F5" s="14"/>
      <c r="G5" s="11"/>
      <c r="H5" s="11"/>
      <c r="I5" s="14">
        <f>O4-1</f>
        <v>1</v>
      </c>
      <c r="N5" s="11"/>
      <c r="O5" s="11"/>
      <c r="P5" s="11"/>
      <c r="Q5" s="11"/>
      <c r="R5" s="11"/>
      <c r="S5" s="11"/>
      <c r="T5" s="12"/>
      <c r="W5" s="13">
        <f>(F1+(Q6+Q4)*3.14)*I5*C5+20</f>
        <v>20</v>
      </c>
    </row>
    <row r="6" spans="2:23" s="3" customFormat="1" ht="14.25">
      <c r="B6" s="10" t="s">
        <v>35</v>
      </c>
      <c r="F6" s="10">
        <v>0.055</v>
      </c>
      <c r="I6" s="10">
        <v>2</v>
      </c>
      <c r="Q6" s="10">
        <f>F6*I6</f>
        <v>0.11</v>
      </c>
      <c r="T6" s="4"/>
      <c r="W6" s="10">
        <f>(F1+(Q6+Q4)*3.14)*I6+20</f>
        <v>117.6356</v>
      </c>
    </row>
    <row r="8" spans="16:19" ht="28.5">
      <c r="P8" s="9" t="s">
        <v>26</v>
      </c>
      <c r="Q8" s="7">
        <f>SUM(Q4:Q6)</f>
        <v>0.77</v>
      </c>
      <c r="R8" s="9" t="s">
        <v>25</v>
      </c>
      <c r="S8" s="7">
        <f>D1-Q8</f>
        <v>3.53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Dongbo Li</dc:creator>
  <cp:keywords/>
  <dc:description/>
  <cp:lastModifiedBy>微软用户</cp:lastModifiedBy>
  <dcterms:created xsi:type="dcterms:W3CDTF">2006-05-13T02:56:21Z</dcterms:created>
  <dcterms:modified xsi:type="dcterms:W3CDTF">2008-04-17T09:50:58Z</dcterms:modified>
  <cp:category/>
  <cp:version/>
  <cp:contentType/>
  <cp:contentStatus/>
</cp:coreProperties>
</file>