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35" windowWidth="13230" windowHeight="7575" activeTab="0"/>
  </bookViews>
  <sheets>
    <sheet name="反激" sheetId="1" r:id="rId1"/>
    <sheet name="正激" sheetId="2" r:id="rId2"/>
    <sheet name="EMI" sheetId="3" r:id="rId3"/>
    <sheet name="桥式" sheetId="4" r:id="rId4"/>
  </sheets>
  <definedNames/>
  <calcPr fullCalcOnLoad="1"/>
</workbook>
</file>

<file path=xl/sharedStrings.xml><?xml version="1.0" encoding="utf-8"?>
<sst xmlns="http://schemas.openxmlformats.org/spreadsheetml/2006/main" count="177" uniqueCount="110">
  <si>
    <t>最小电压</t>
  </si>
  <si>
    <t>最大电压</t>
  </si>
  <si>
    <t>功率</t>
  </si>
  <si>
    <t>频率</t>
  </si>
  <si>
    <t>电流密度</t>
  </si>
  <si>
    <t>窗占系数</t>
  </si>
  <si>
    <t>磁振幅</t>
  </si>
  <si>
    <t>最大占空</t>
  </si>
  <si>
    <t>效率预设</t>
  </si>
  <si>
    <t>Umin(V)</t>
  </si>
  <si>
    <t>Umax(V)</t>
  </si>
  <si>
    <t>P(W)</t>
  </si>
  <si>
    <t>f(kHz)</t>
  </si>
  <si>
    <t>Ip</t>
  </si>
  <si>
    <t>Qw</t>
  </si>
  <si>
    <t>△B(T)</t>
  </si>
  <si>
    <t>q</t>
  </si>
  <si>
    <t>最小直流</t>
  </si>
  <si>
    <t>最大直流</t>
  </si>
  <si>
    <t>磁芯常数</t>
  </si>
  <si>
    <t>据此选定</t>
  </si>
  <si>
    <t>磁芯截面</t>
  </si>
  <si>
    <t>窗口面积</t>
  </si>
  <si>
    <t>uS</t>
  </si>
  <si>
    <t>T(uS)</t>
  </si>
  <si>
    <t>WS(cm4)</t>
  </si>
  <si>
    <t>磁芯型号</t>
  </si>
  <si>
    <t>S(cm2)</t>
  </si>
  <si>
    <t>初级匝数</t>
  </si>
  <si>
    <t>磁芯气隙</t>
  </si>
  <si>
    <t>峰值电流</t>
  </si>
  <si>
    <t>初级线径</t>
  </si>
  <si>
    <t>线截面积</t>
  </si>
  <si>
    <t>有效电流</t>
  </si>
  <si>
    <t>初级电阻</t>
  </si>
  <si>
    <t>N(T)</t>
  </si>
  <si>
    <t>l (mm)</t>
  </si>
  <si>
    <t>L (uH)</t>
  </si>
  <si>
    <t>If(A)</t>
  </si>
  <si>
    <t>d(mm)</t>
  </si>
  <si>
    <t>S(mm2)</t>
  </si>
  <si>
    <t>正激变换变压器计算表</t>
  </si>
  <si>
    <t>磁通峰值</t>
  </si>
  <si>
    <t>Bmax</t>
  </si>
  <si>
    <t>Irms</t>
  </si>
  <si>
    <t>总铜损</t>
  </si>
  <si>
    <t xml:space="preserve"> </t>
  </si>
  <si>
    <t>cm</t>
  </si>
  <si>
    <t>W</t>
  </si>
  <si>
    <t>桥式电路计算</t>
  </si>
  <si>
    <t>磁通过冲</t>
  </si>
  <si>
    <t>初级单匝长</t>
  </si>
  <si>
    <t>波形因數</t>
  </si>
  <si>
    <t>平均電流</t>
  </si>
  <si>
    <t>K</t>
  </si>
  <si>
    <t>Iavg</t>
  </si>
  <si>
    <t>LP(UH)</t>
  </si>
  <si>
    <t>穿透厚度</t>
  </si>
  <si>
    <t>低壓顫空比</t>
  </si>
  <si>
    <t xml:space="preserve">D </t>
  </si>
  <si>
    <t>　</t>
  </si>
  <si>
    <t>輸出濾波電感</t>
  </si>
  <si>
    <r>
      <t>（</t>
    </r>
    <r>
      <rPr>
        <sz val="13"/>
        <color indexed="12"/>
        <rFont val="Times New Roman"/>
        <family val="1"/>
      </rPr>
      <t>uH)</t>
    </r>
  </si>
  <si>
    <r>
      <t>初極電感</t>
    </r>
    <r>
      <rPr>
        <b/>
        <sz val="13"/>
        <rFont val="Times New Roman"/>
        <family val="1"/>
      </rPr>
      <t>2</t>
    </r>
  </si>
  <si>
    <r>
      <t>初極電感</t>
    </r>
    <r>
      <rPr>
        <b/>
        <sz val="13"/>
        <rFont val="Times New Roman"/>
        <family val="1"/>
      </rPr>
      <t>3</t>
    </r>
  </si>
  <si>
    <t>LP</t>
  </si>
  <si>
    <t xml:space="preserve"> </t>
  </si>
  <si>
    <t xml:space="preserve"> </t>
  </si>
  <si>
    <t xml:space="preserve"> </t>
  </si>
  <si>
    <r>
      <t>容抗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Ω</t>
    </r>
    <r>
      <rPr>
        <sz val="12"/>
        <color indexed="8"/>
        <rFont val="Times New Roman"/>
        <family val="1"/>
      </rPr>
      <t>)</t>
    </r>
  </si>
  <si>
    <r>
      <t>感抗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Ω</t>
    </r>
    <r>
      <rPr>
        <sz val="12"/>
        <color indexed="8"/>
        <rFont val="Times New Roman"/>
        <family val="1"/>
      </rPr>
      <t>)</t>
    </r>
  </si>
  <si>
    <r>
      <t>電抗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Ω</t>
    </r>
    <r>
      <rPr>
        <sz val="12"/>
        <color indexed="8"/>
        <rFont val="Times New Roman"/>
        <family val="1"/>
      </rPr>
      <t>)</t>
    </r>
  </si>
  <si>
    <r>
      <t>電容值（</t>
    </r>
    <r>
      <rPr>
        <sz val="12"/>
        <color indexed="8"/>
        <rFont val="Times New Roman"/>
        <family val="1"/>
      </rPr>
      <t>u F )</t>
    </r>
  </si>
  <si>
    <r>
      <t>電感值</t>
    </r>
    <r>
      <rPr>
        <sz val="12"/>
        <color indexed="8"/>
        <rFont val="Times New Roman"/>
        <family val="1"/>
      </rPr>
      <t xml:space="preserve"> ( m H )</t>
    </r>
  </si>
  <si>
    <t xml:space="preserve"> </t>
  </si>
  <si>
    <r>
      <t>頻率點（</t>
    </r>
    <r>
      <rPr>
        <sz val="12"/>
        <color indexed="8"/>
        <rFont val="Times New Roman"/>
        <family val="1"/>
      </rPr>
      <t>KHZ)</t>
    </r>
  </si>
  <si>
    <r>
      <t>EMI</t>
    </r>
    <r>
      <rPr>
        <b/>
        <sz val="20"/>
        <rFont val="細明體"/>
        <family val="3"/>
      </rPr>
      <t>參數計算表</t>
    </r>
  </si>
  <si>
    <t>工作频率</t>
  </si>
  <si>
    <t>输出电压</t>
  </si>
  <si>
    <t>Po(W)</t>
  </si>
  <si>
    <t>Kj</t>
  </si>
  <si>
    <t>D</t>
  </si>
  <si>
    <t>Vo</t>
  </si>
  <si>
    <r>
      <t>反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黑体"/>
        <family val="0"/>
      </rPr>
      <t>激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黑体"/>
        <family val="0"/>
      </rPr>
      <t>变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黑体"/>
        <family val="0"/>
      </rPr>
      <t>换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黑体"/>
        <family val="0"/>
      </rPr>
      <t>变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黑体"/>
        <family val="0"/>
      </rPr>
      <t>压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黑体"/>
        <family val="0"/>
      </rPr>
      <t>器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黑体"/>
        <family val="0"/>
      </rPr>
      <t>计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黑体"/>
        <family val="0"/>
      </rPr>
      <t>算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黑体"/>
        <family val="0"/>
      </rPr>
      <t>表</t>
    </r>
  </si>
  <si>
    <r>
      <t>最大</t>
    </r>
    <r>
      <rPr>
        <b/>
        <sz val="13"/>
        <color indexed="8"/>
        <rFont val="Times New Roman"/>
        <family val="1"/>
      </rPr>
      <t>AC</t>
    </r>
    <r>
      <rPr>
        <b/>
        <sz val="13"/>
        <color indexed="8"/>
        <rFont val="宋体"/>
        <family val="0"/>
      </rPr>
      <t>电压</t>
    </r>
  </si>
  <si>
    <r>
      <t>最小</t>
    </r>
    <r>
      <rPr>
        <b/>
        <sz val="13"/>
        <color indexed="8"/>
        <rFont val="Times New Roman"/>
        <family val="1"/>
      </rPr>
      <t>DC</t>
    </r>
    <r>
      <rPr>
        <b/>
        <sz val="13"/>
        <color indexed="8"/>
        <rFont val="宋体"/>
        <family val="0"/>
      </rPr>
      <t>电压</t>
    </r>
  </si>
  <si>
    <r>
      <t>最大</t>
    </r>
    <r>
      <rPr>
        <b/>
        <sz val="13"/>
        <color indexed="8"/>
        <rFont val="Times New Roman"/>
        <family val="1"/>
      </rPr>
      <t>DC</t>
    </r>
    <r>
      <rPr>
        <b/>
        <sz val="13"/>
        <color indexed="8"/>
        <rFont val="宋体"/>
        <family val="0"/>
      </rPr>
      <t>电压</t>
    </r>
  </si>
  <si>
    <r>
      <t>最大</t>
    </r>
    <r>
      <rPr>
        <b/>
        <sz val="13"/>
        <color indexed="8"/>
        <rFont val="Times New Roman"/>
        <family val="1"/>
      </rPr>
      <t>Ton</t>
    </r>
    <r>
      <rPr>
        <b/>
        <sz val="13"/>
        <color indexed="8"/>
        <rFont val="宋体"/>
        <family val="0"/>
      </rPr>
      <t>时间</t>
    </r>
  </si>
  <si>
    <t xml:space="preserve"> 周 期</t>
  </si>
  <si>
    <r>
      <t>匝</t>
    </r>
    <r>
      <rPr>
        <b/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宋体"/>
        <family val="0"/>
      </rPr>
      <t>比</t>
    </r>
  </si>
  <si>
    <t>磁芯型号</t>
  </si>
  <si>
    <t>n</t>
  </si>
  <si>
    <r>
      <t>Ipk</t>
    </r>
    <r>
      <rPr>
        <sz val="13"/>
        <color indexed="8"/>
        <rFont val=""/>
        <family val="3"/>
      </rPr>
      <t>(A)</t>
    </r>
  </si>
  <si>
    <r>
      <t>初级电感</t>
    </r>
    <r>
      <rPr>
        <b/>
        <sz val="13"/>
        <color indexed="8"/>
        <rFont val="Times New Roman"/>
        <family val="1"/>
      </rPr>
      <t>1</t>
    </r>
  </si>
  <si>
    <t>電感因數</t>
  </si>
  <si>
    <t>次级匝数</t>
  </si>
  <si>
    <t>大电容</t>
  </si>
  <si>
    <t>晶体耐压</t>
  </si>
  <si>
    <t>Np(T)</t>
  </si>
  <si>
    <t>AL(nH/Np^)</t>
  </si>
  <si>
    <t>Ns(T)</t>
  </si>
  <si>
    <t>C(uF)</t>
  </si>
  <si>
    <t>Vds(V)</t>
  </si>
  <si>
    <t>最小AC电压</t>
  </si>
  <si>
    <r>
      <t>RCD</t>
    </r>
    <r>
      <rPr>
        <b/>
        <sz val="20"/>
        <rFont val="細明體"/>
        <family val="3"/>
      </rPr>
      <t>（</t>
    </r>
    <r>
      <rPr>
        <sz val="12"/>
        <rFont val="Times New Roman"/>
        <family val="1"/>
      </rPr>
      <t>clamp</t>
    </r>
    <r>
      <rPr>
        <sz val="12"/>
        <rFont val="細明體"/>
        <family val="3"/>
      </rPr>
      <t>）　</t>
    </r>
    <r>
      <rPr>
        <b/>
        <sz val="12"/>
        <rFont val="細明體"/>
        <family val="3"/>
      </rPr>
      <t>電路設計</t>
    </r>
  </si>
  <si>
    <t>　</t>
  </si>
  <si>
    <r>
      <t>吸收電路</t>
    </r>
    <r>
      <rPr>
        <b/>
        <sz val="11"/>
        <rFont val="Times New Roman"/>
        <family val="1"/>
      </rPr>
      <t>R</t>
    </r>
    <r>
      <rPr>
        <b/>
        <sz val="11"/>
        <rFont val="細明體"/>
        <family val="3"/>
      </rPr>
      <t>值</t>
    </r>
  </si>
  <si>
    <t>电感量1</t>
  </si>
  <si>
    <r>
      <t>N</t>
    </r>
    <r>
      <rPr>
        <sz val="12"/>
        <rFont val=""/>
        <family val="3"/>
      </rPr>
      <t>P</t>
    </r>
  </si>
  <si>
    <t>AP(cm4)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</si>
</sst>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US$&quot;#,##0_);\(&quot;US$&quot;#,##0\)"/>
    <numFmt numFmtId="191" formatCode="&quot;US$&quot;#,##0_);[Red]\(&quot;US$&quot;#,##0\)"/>
    <numFmt numFmtId="192" formatCode="&quot;US$&quot;#,##0.00_);\(&quot;US$&quot;#,##0.00\)"/>
    <numFmt numFmtId="193" formatCode="&quot;US$&quot;#,##0.00_);[Red]\(&quot;US$&quot;#,##0.00\)"/>
    <numFmt numFmtId="194" formatCode="0.000"/>
    <numFmt numFmtId="195" formatCode="0.0"/>
  </numFmts>
  <fonts count="38">
    <font>
      <sz val="12"/>
      <name val="宋体"/>
      <family val="0"/>
    </font>
    <font>
      <sz val="12"/>
      <name val=""/>
      <family val="3"/>
    </font>
    <font>
      <sz val="9"/>
      <name val="宋体"/>
      <family val="0"/>
    </font>
    <font>
      <b/>
      <sz val="20"/>
      <color indexed="10"/>
      <name val="黑体"/>
      <family val="0"/>
    </font>
    <font>
      <sz val="20"/>
      <color indexed="10"/>
      <name val="黑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"/>
      <family val="3"/>
    </font>
    <font>
      <b/>
      <sz val="13"/>
      <name val="Times New Roman"/>
      <family val="1"/>
    </font>
    <font>
      <sz val="13"/>
      <name val=""/>
      <family val="3"/>
    </font>
    <font>
      <u val="single"/>
      <sz val="10.45"/>
      <color indexed="12"/>
      <name val="宋体"/>
      <family val="0"/>
    </font>
    <font>
      <u val="single"/>
      <sz val="10.45"/>
      <color indexed="36"/>
      <name val="宋体"/>
      <family val="0"/>
    </font>
    <font>
      <b/>
      <sz val="13"/>
      <color indexed="12"/>
      <name val="宋体"/>
      <family val="0"/>
    </font>
    <font>
      <sz val="13"/>
      <color indexed="12"/>
      <name val=""/>
      <family val="3"/>
    </font>
    <font>
      <sz val="13"/>
      <color indexed="12"/>
      <name val="Times New Roman"/>
      <family val="1"/>
    </font>
    <font>
      <sz val="12"/>
      <name val="Times New Roman"/>
      <family val="1"/>
    </font>
    <font>
      <b/>
      <sz val="13"/>
      <name val="細明體"/>
      <family val="3"/>
    </font>
    <font>
      <b/>
      <sz val="13"/>
      <name val=""/>
      <family val="3"/>
    </font>
    <font>
      <sz val="10"/>
      <color indexed="12"/>
      <name val="細明體"/>
      <family val="3"/>
    </font>
    <font>
      <sz val="9"/>
      <name val="細明體"/>
      <family val="3"/>
    </font>
    <font>
      <sz val="12"/>
      <color indexed="10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細明體"/>
      <family val="3"/>
    </font>
    <font>
      <b/>
      <sz val="20"/>
      <name val="BankGothic Md BT"/>
      <family val="2"/>
    </font>
    <font>
      <b/>
      <sz val="20"/>
      <name val="細明體"/>
      <family val="3"/>
    </font>
    <font>
      <b/>
      <sz val="20"/>
      <color indexed="8"/>
      <name val="黑体"/>
      <family val="0"/>
    </font>
    <font>
      <b/>
      <sz val="20"/>
      <color indexed="8"/>
      <name val="Times New Roman"/>
      <family val="1"/>
    </font>
    <font>
      <sz val="20"/>
      <color indexed="8"/>
      <name val="黑体"/>
      <family val="0"/>
    </font>
    <font>
      <b/>
      <sz val="13"/>
      <color indexed="8"/>
      <name val="宋体"/>
      <family val="0"/>
    </font>
    <font>
      <b/>
      <sz val="13"/>
      <color indexed="8"/>
      <name val="Times New Roman"/>
      <family val="1"/>
    </font>
    <font>
      <sz val="13"/>
      <color indexed="8"/>
      <name val=""/>
      <family val="3"/>
    </font>
    <font>
      <sz val="13"/>
      <color indexed="8"/>
      <name val="Times New Roman"/>
      <family val="1"/>
    </font>
    <font>
      <sz val="12"/>
      <name val="細明體"/>
      <family val="3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細明體"/>
      <family val="3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194" fontId="1" fillId="0" borderId="6" xfId="0" applyNumberFormat="1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195" fontId="1" fillId="0" borderId="5" xfId="0" applyNumberFormat="1" applyFont="1" applyBorder="1" applyAlignment="1" applyProtection="1">
      <alignment horizontal="center"/>
      <protection/>
    </xf>
    <xf numFmtId="2" fontId="1" fillId="0" borderId="6" xfId="0" applyNumberFormat="1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12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12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8" fillId="3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15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6" fillId="3" borderId="0" xfId="0" applyFont="1" applyFill="1" applyAlignment="1" applyProtection="1">
      <alignment horizontal="center"/>
      <protection/>
    </xf>
    <xf numFmtId="0" fontId="7" fillId="3" borderId="0" xfId="0" applyFont="1" applyFill="1" applyAlignment="1" applyProtection="1">
      <alignment horizontal="center"/>
      <protection/>
    </xf>
    <xf numFmtId="0" fontId="7" fillId="3" borderId="0" xfId="0" applyFont="1" applyFill="1" applyAlignment="1" applyProtection="1">
      <alignment/>
      <protection/>
    </xf>
    <xf numFmtId="0" fontId="29" fillId="3" borderId="14" xfId="0" applyFont="1" applyFill="1" applyBorder="1" applyAlignment="1" applyProtection="1">
      <alignment horizontal="center"/>
      <protection/>
    </xf>
    <xf numFmtId="0" fontId="31" fillId="3" borderId="14" xfId="0" applyFont="1" applyFill="1" applyBorder="1" applyAlignment="1" applyProtection="1">
      <alignment horizontal="center"/>
      <protection/>
    </xf>
    <xf numFmtId="0" fontId="32" fillId="3" borderId="14" xfId="0" applyFont="1" applyFill="1" applyBorder="1" applyAlignment="1" applyProtection="1">
      <alignment horizontal="center"/>
      <protection/>
    </xf>
    <xf numFmtId="0" fontId="31" fillId="4" borderId="14" xfId="0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194" fontId="31" fillId="3" borderId="14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/>
      <protection/>
    </xf>
    <xf numFmtId="195" fontId="29" fillId="3" borderId="14" xfId="0" applyNumberFormat="1" applyFont="1" applyFill="1" applyBorder="1" applyAlignment="1" applyProtection="1">
      <alignment horizontal="center" vertical="center"/>
      <protection/>
    </xf>
    <xf numFmtId="2" fontId="29" fillId="3" borderId="14" xfId="0" applyNumberFormat="1" applyFont="1" applyFill="1" applyBorder="1" applyAlignment="1" applyProtection="1">
      <alignment horizontal="center" vertical="center"/>
      <protection/>
    </xf>
    <xf numFmtId="195" fontId="32" fillId="3" borderId="14" xfId="0" applyNumberFormat="1" applyFont="1" applyFill="1" applyBorder="1" applyAlignment="1" applyProtection="1">
      <alignment horizontal="center" vertical="center"/>
      <protection/>
    </xf>
    <xf numFmtId="0" fontId="32" fillId="3" borderId="14" xfId="0" applyFont="1" applyFill="1" applyBorder="1" applyAlignment="1" applyProtection="1">
      <alignment horizontal="center" vertical="center"/>
      <protection/>
    </xf>
    <xf numFmtId="195" fontId="31" fillId="3" borderId="14" xfId="0" applyNumberFormat="1" applyFont="1" applyFill="1" applyBorder="1" applyAlignment="1" applyProtection="1">
      <alignment horizontal="center"/>
      <protection/>
    </xf>
    <xf numFmtId="2" fontId="31" fillId="3" borderId="14" xfId="0" applyNumberFormat="1" applyFont="1" applyFill="1" applyBorder="1" applyAlignment="1" applyProtection="1">
      <alignment horizontal="center"/>
      <protection/>
    </xf>
    <xf numFmtId="1" fontId="31" fillId="3" borderId="14" xfId="0" applyNumberFormat="1" applyFont="1" applyFill="1" applyBorder="1" applyAlignment="1" applyProtection="1">
      <alignment horizontal="center"/>
      <protection/>
    </xf>
    <xf numFmtId="195" fontId="9" fillId="3" borderId="14" xfId="0" applyNumberFormat="1" applyFont="1" applyFill="1" applyBorder="1" applyAlignment="1" applyProtection="1">
      <alignment horizontal="center"/>
      <protection/>
    </xf>
    <xf numFmtId="2" fontId="9" fillId="3" borderId="14" xfId="0" applyNumberFormat="1" applyFont="1" applyFill="1" applyBorder="1" applyAlignment="1" applyProtection="1">
      <alignment horizontal="center"/>
      <protection/>
    </xf>
    <xf numFmtId="1" fontId="9" fillId="3" borderId="14" xfId="0" applyNumberFormat="1" applyFont="1" applyFill="1" applyBorder="1" applyAlignment="1" applyProtection="1">
      <alignment horizontal="center"/>
      <protection/>
    </xf>
    <xf numFmtId="194" fontId="9" fillId="3" borderId="14" xfId="0" applyNumberFormat="1" applyFont="1" applyFill="1" applyBorder="1" applyAlignment="1" applyProtection="1">
      <alignment horizontal="center"/>
      <protection/>
    </xf>
    <xf numFmtId="195" fontId="12" fillId="3" borderId="14" xfId="0" applyNumberFormat="1" applyFont="1" applyFill="1" applyBorder="1" applyAlignment="1" applyProtection="1">
      <alignment horizontal="center" vertical="center"/>
      <protection/>
    </xf>
    <xf numFmtId="2" fontId="12" fillId="3" borderId="14" xfId="0" applyNumberFormat="1" applyFont="1" applyFill="1" applyBorder="1" applyAlignment="1" applyProtection="1">
      <alignment horizontal="center" vertical="center"/>
      <protection/>
    </xf>
    <xf numFmtId="1" fontId="16" fillId="3" borderId="14" xfId="0" applyNumberFormat="1" applyFont="1" applyFill="1" applyBorder="1" applyAlignment="1" applyProtection="1">
      <alignment horizontal="center"/>
      <protection/>
    </xf>
    <xf numFmtId="2" fontId="16" fillId="3" borderId="14" xfId="0" applyNumberFormat="1" applyFont="1" applyFill="1" applyBorder="1" applyAlignment="1" applyProtection="1">
      <alignment horizontal="center"/>
      <protection/>
    </xf>
    <xf numFmtId="0" fontId="13" fillId="3" borderId="14" xfId="0" applyFont="1" applyFill="1" applyBorder="1" applyAlignment="1" applyProtection="1">
      <alignment horizontal="center"/>
      <protection/>
    </xf>
    <xf numFmtId="0" fontId="18" fillId="3" borderId="14" xfId="0" applyFont="1" applyFill="1" applyBorder="1" applyAlignment="1" applyProtection="1">
      <alignment horizontal="center"/>
      <protection/>
    </xf>
    <xf numFmtId="0" fontId="16" fillId="3" borderId="14" xfId="0" applyFont="1" applyFill="1" applyBorder="1" applyAlignment="1" applyProtection="1">
      <alignment horizontal="center"/>
      <protection/>
    </xf>
    <xf numFmtId="195" fontId="14" fillId="3" borderId="14" xfId="0" applyNumberFormat="1" applyFont="1" applyFill="1" applyBorder="1" applyAlignment="1" applyProtection="1">
      <alignment horizontal="center" vertical="center"/>
      <protection/>
    </xf>
    <xf numFmtId="0" fontId="14" fillId="3" borderId="14" xfId="0" applyFont="1" applyFill="1" applyBorder="1" applyAlignment="1" applyProtection="1">
      <alignment horizontal="center" vertical="center"/>
      <protection/>
    </xf>
    <xf numFmtId="49" fontId="8" fillId="3" borderId="14" xfId="0" applyNumberFormat="1" applyFont="1" applyFill="1" applyBorder="1" applyAlignment="1" applyProtection="1">
      <alignment horizontal="center"/>
      <protection/>
    </xf>
    <xf numFmtId="49" fontId="14" fillId="3" borderId="14" xfId="0" applyNumberFormat="1" applyFont="1" applyFill="1" applyBorder="1" applyAlignment="1" applyProtection="1">
      <alignment horizontal="center"/>
      <protection/>
    </xf>
    <xf numFmtId="49" fontId="13" fillId="3" borderId="14" xfId="0" applyNumberFormat="1" applyFont="1" applyFill="1" applyBorder="1" applyAlignment="1" applyProtection="1">
      <alignment horizontal="center"/>
      <protection/>
    </xf>
    <xf numFmtId="0" fontId="8" fillId="3" borderId="14" xfId="0" applyFont="1" applyFill="1" applyBorder="1" applyAlignment="1" applyProtection="1">
      <alignment horizontal="center"/>
      <protection/>
    </xf>
    <xf numFmtId="0" fontId="17" fillId="3" borderId="14" xfId="0" applyFont="1" applyFill="1" applyBorder="1" applyAlignment="1" applyProtection="1">
      <alignment horizontal="center"/>
      <protection/>
    </xf>
    <xf numFmtId="0" fontId="14" fillId="3" borderId="14" xfId="0" applyFont="1" applyFill="1" applyBorder="1" applyAlignment="1" applyProtection="1">
      <alignment horizontal="center"/>
      <protection/>
    </xf>
    <xf numFmtId="0" fontId="10" fillId="3" borderId="14" xfId="16" applyFill="1" applyBorder="1" applyAlignment="1" applyProtection="1">
      <alignment horizontal="center"/>
      <protection/>
    </xf>
    <xf numFmtId="2" fontId="36" fillId="3" borderId="14" xfId="0" applyNumberFormat="1" applyFont="1" applyFill="1" applyBorder="1" applyAlignment="1" applyProtection="1">
      <alignment horizontal="center"/>
      <protection/>
    </xf>
    <xf numFmtId="0" fontId="26" fillId="3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4" fillId="3" borderId="0" xfId="0" applyFont="1" applyFill="1" applyAlignment="1">
      <alignment horizontal="center" vertical="center"/>
    </xf>
    <xf numFmtId="0" fontId="24" fillId="3" borderId="15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16" xfId="0" applyFont="1" applyBorder="1" applyAlignment="1" applyProtection="1">
      <alignment horizontal="left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T31"/>
  <sheetViews>
    <sheetView tabSelected="1" defaultGridColor="0" zoomScale="87" zoomScaleNormal="87" colorId="22" workbookViewId="0" topLeftCell="A1">
      <selection activeCell="E22" sqref="E22"/>
    </sheetView>
  </sheetViews>
  <sheetFormatPr defaultColWidth="11.625" defaultRowHeight="14.25"/>
  <cols>
    <col min="1" max="10" width="13.375" style="2" customWidth="1"/>
    <col min="11" max="16384" width="11.625" style="2" customWidth="1"/>
  </cols>
  <sheetData>
    <row r="1" spans="1:11" s="4" customFormat="1" ht="26.25">
      <c r="A1" s="78" t="s">
        <v>83</v>
      </c>
      <c r="B1" s="78"/>
      <c r="C1" s="78"/>
      <c r="D1" s="78"/>
      <c r="E1" s="78"/>
      <c r="F1" s="78"/>
      <c r="G1" s="78"/>
      <c r="H1" s="78"/>
      <c r="I1" s="36"/>
      <c r="J1" s="36"/>
      <c r="K1" s="39"/>
    </row>
    <row r="2" spans="1:12" s="25" customFormat="1" ht="19.5" customHeight="1">
      <c r="A2" s="76" t="s">
        <v>103</v>
      </c>
      <c r="B2" s="43" t="s">
        <v>84</v>
      </c>
      <c r="C2" s="43"/>
      <c r="D2" s="43" t="s">
        <v>77</v>
      </c>
      <c r="E2" s="43" t="s">
        <v>4</v>
      </c>
      <c r="F2" s="43" t="s">
        <v>5</v>
      </c>
      <c r="G2" s="43" t="s">
        <v>6</v>
      </c>
      <c r="H2" s="43" t="s">
        <v>7</v>
      </c>
      <c r="I2" s="43" t="s">
        <v>8</v>
      </c>
      <c r="J2" s="43" t="s">
        <v>78</v>
      </c>
      <c r="K2" s="40"/>
      <c r="L2" s="24"/>
    </row>
    <row r="3" spans="1:12" s="27" customFormat="1" ht="19.5" customHeight="1">
      <c r="A3" s="44" t="s">
        <v>9</v>
      </c>
      <c r="B3" s="44" t="s">
        <v>10</v>
      </c>
      <c r="C3" s="44" t="s">
        <v>79</v>
      </c>
      <c r="D3" s="44" t="s">
        <v>12</v>
      </c>
      <c r="E3" s="45" t="s">
        <v>80</v>
      </c>
      <c r="F3" s="44" t="s">
        <v>14</v>
      </c>
      <c r="G3" s="44" t="s">
        <v>15</v>
      </c>
      <c r="H3" s="45" t="s">
        <v>81</v>
      </c>
      <c r="I3" s="44"/>
      <c r="J3" s="45" t="s">
        <v>82</v>
      </c>
      <c r="K3" s="41"/>
      <c r="L3" s="26"/>
    </row>
    <row r="4" spans="1:12" s="27" customFormat="1" ht="19.5" customHeight="1">
      <c r="A4" s="46">
        <v>85</v>
      </c>
      <c r="B4" s="46">
        <v>265</v>
      </c>
      <c r="C4" s="46">
        <v>100</v>
      </c>
      <c r="D4" s="46">
        <v>65</v>
      </c>
      <c r="E4" s="46">
        <v>4</v>
      </c>
      <c r="F4" s="46">
        <v>0.4</v>
      </c>
      <c r="G4" s="46">
        <v>0.12</v>
      </c>
      <c r="H4" s="46">
        <v>0.5</v>
      </c>
      <c r="I4" s="46">
        <v>0.85</v>
      </c>
      <c r="J4" s="46">
        <v>19</v>
      </c>
      <c r="K4" s="41"/>
      <c r="L4" s="26"/>
    </row>
    <row r="5" spans="1:12" s="27" customFormat="1" ht="19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1"/>
      <c r="L5" s="26"/>
    </row>
    <row r="6" spans="1:12" s="25" customFormat="1" ht="19.5" customHeight="1">
      <c r="A6" s="43" t="s">
        <v>85</v>
      </c>
      <c r="B6" s="43" t="s">
        <v>86</v>
      </c>
      <c r="C6" s="43" t="s">
        <v>87</v>
      </c>
      <c r="D6" s="43" t="s">
        <v>88</v>
      </c>
      <c r="E6" s="43" t="s">
        <v>89</v>
      </c>
      <c r="F6" s="43" t="s">
        <v>19</v>
      </c>
      <c r="G6" s="43" t="s">
        <v>30</v>
      </c>
      <c r="H6" s="43" t="s">
        <v>21</v>
      </c>
      <c r="I6" s="43" t="s">
        <v>22</v>
      </c>
      <c r="J6" s="43" t="s">
        <v>90</v>
      </c>
      <c r="K6" s="40"/>
      <c r="L6" s="24"/>
    </row>
    <row r="7" spans="1:11" s="27" customFormat="1" ht="19.5" customHeight="1">
      <c r="A7" s="44" t="s">
        <v>9</v>
      </c>
      <c r="B7" s="44" t="s">
        <v>10</v>
      </c>
      <c r="C7" s="44" t="s">
        <v>23</v>
      </c>
      <c r="D7" s="44" t="s">
        <v>24</v>
      </c>
      <c r="E7" s="45" t="s">
        <v>91</v>
      </c>
      <c r="F7" s="44" t="s">
        <v>25</v>
      </c>
      <c r="G7" s="45" t="s">
        <v>92</v>
      </c>
      <c r="H7" s="44" t="s">
        <v>27</v>
      </c>
      <c r="I7" s="44" t="s">
        <v>27</v>
      </c>
      <c r="J7" s="45" t="s">
        <v>109</v>
      </c>
      <c r="K7" s="42"/>
    </row>
    <row r="8" spans="1:11" s="27" customFormat="1" ht="19.5" customHeight="1">
      <c r="A8" s="44">
        <f>(A4*1.15)</f>
        <v>97.75000000000001</v>
      </c>
      <c r="B8" s="44">
        <f>(B4*1.35)</f>
        <v>357.75</v>
      </c>
      <c r="C8" s="44">
        <f>(1000*H4/D4)</f>
        <v>7.6923076923076925</v>
      </c>
      <c r="D8" s="44">
        <f>(1000/D4)</f>
        <v>15.384615384615385</v>
      </c>
      <c r="E8" s="44">
        <f>(H4*(A8-3)/((1-H4)*(J4+0.7)))</f>
        <v>4.809644670050762</v>
      </c>
      <c r="F8" s="48">
        <v>0.2</v>
      </c>
      <c r="G8" s="46">
        <v>2.5</v>
      </c>
      <c r="H8" s="46">
        <v>1.5</v>
      </c>
      <c r="I8" s="44">
        <v>10</v>
      </c>
      <c r="J8" s="44">
        <f>(H8*I8)</f>
        <v>15</v>
      </c>
      <c r="K8" s="42"/>
    </row>
    <row r="9" spans="1:11" s="27" customFormat="1" ht="19.5" customHeight="1">
      <c r="A9" s="47"/>
      <c r="B9" s="47"/>
      <c r="C9" s="47"/>
      <c r="D9" s="47"/>
      <c r="E9" s="47"/>
      <c r="F9" s="47"/>
      <c r="G9" s="47"/>
      <c r="H9" s="47"/>
      <c r="I9" s="47"/>
      <c r="J9" s="49"/>
      <c r="K9" s="42"/>
    </row>
    <row r="10" spans="1:254" s="25" customFormat="1" ht="19.5" customHeight="1">
      <c r="A10" s="43" t="s">
        <v>28</v>
      </c>
      <c r="B10" s="43" t="s">
        <v>29</v>
      </c>
      <c r="C10" s="43" t="s">
        <v>93</v>
      </c>
      <c r="D10" s="43" t="s">
        <v>94</v>
      </c>
      <c r="E10" s="43" t="s">
        <v>31</v>
      </c>
      <c r="F10" s="43" t="s">
        <v>32</v>
      </c>
      <c r="G10" s="43" t="s">
        <v>33</v>
      </c>
      <c r="H10" s="43" t="s">
        <v>95</v>
      </c>
      <c r="I10" s="50" t="s">
        <v>96</v>
      </c>
      <c r="J10" s="51" t="s">
        <v>97</v>
      </c>
      <c r="K10" s="40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</row>
    <row r="11" spans="1:252" s="27" customFormat="1" ht="19.5" customHeight="1">
      <c r="A11" s="44" t="s">
        <v>98</v>
      </c>
      <c r="B11" s="44" t="s">
        <v>36</v>
      </c>
      <c r="C11" s="44" t="s">
        <v>37</v>
      </c>
      <c r="D11" s="45" t="s">
        <v>99</v>
      </c>
      <c r="E11" s="44" t="s">
        <v>39</v>
      </c>
      <c r="F11" s="44" t="s">
        <v>40</v>
      </c>
      <c r="G11" s="44"/>
      <c r="H11" s="45" t="s">
        <v>100</v>
      </c>
      <c r="I11" s="52" t="s">
        <v>101</v>
      </c>
      <c r="J11" s="53" t="s">
        <v>102</v>
      </c>
      <c r="K11" s="41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</row>
    <row r="12" spans="1:252" s="27" customFormat="1" ht="19.5" customHeight="1">
      <c r="A12" s="54">
        <f>(A8*C8/(100*G4*H8))</f>
        <v>41.77350427350428</v>
      </c>
      <c r="B12" s="55">
        <f>(0.0012556*A12*G8/G4)</f>
        <v>1.0927252492877495</v>
      </c>
      <c r="C12" s="56">
        <f>((A8*C8/G8)*2)</f>
        <v>601.5384615384617</v>
      </c>
      <c r="D12" s="55">
        <f>C12/(A12*A12)*1000</f>
        <v>344.71611253196926</v>
      </c>
      <c r="E12" s="55">
        <f>SQRT(4*F12/3.1416)</f>
        <v>0.5641889238885798</v>
      </c>
      <c r="F12" s="55">
        <f>(0.4*G8/E4)</f>
        <v>0.25</v>
      </c>
      <c r="G12" s="48">
        <f>(G8*0.7*SQRT(H4))</f>
        <v>1.2374368670764582</v>
      </c>
      <c r="H12" s="44">
        <f>(A12/E8)</f>
        <v>8.685361838396139</v>
      </c>
      <c r="I12" s="44">
        <f>((C4*2*0.4)/((A8*A8-(A8-40)*(A8-40))*60)*1000000)</f>
        <v>214.36227224008567</v>
      </c>
      <c r="J12" s="44">
        <f>((J4*E8+B4)*1.2)</f>
        <v>427.6598984771574</v>
      </c>
      <c r="K12" s="41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</row>
    <row r="13" spans="1:252" s="27" customFormat="1" ht="19.5" customHeight="1">
      <c r="A13" s="57"/>
      <c r="B13" s="58"/>
      <c r="C13" s="59"/>
      <c r="D13" s="58"/>
      <c r="E13" s="58"/>
      <c r="F13" s="58"/>
      <c r="G13" s="60"/>
      <c r="H13" s="47"/>
      <c r="I13" s="27">
        <v>1000</v>
      </c>
      <c r="J13" s="47"/>
      <c r="K13" s="41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</row>
    <row r="14" spans="1:252" s="27" customFormat="1" ht="19.5" customHeight="1">
      <c r="A14" s="61" t="s">
        <v>52</v>
      </c>
      <c r="B14" s="62" t="s">
        <v>53</v>
      </c>
      <c r="C14" s="63" t="s">
        <v>63</v>
      </c>
      <c r="D14" s="64" t="s">
        <v>58</v>
      </c>
      <c r="E14" s="63" t="s">
        <v>64</v>
      </c>
      <c r="F14" s="77" t="s">
        <v>106</v>
      </c>
      <c r="G14" s="77" t="s">
        <v>106</v>
      </c>
      <c r="H14" s="65"/>
      <c r="I14" s="66" t="s">
        <v>61</v>
      </c>
      <c r="J14" s="67" t="s">
        <v>57</v>
      </c>
      <c r="K14" s="41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</row>
    <row r="15" spans="1:11" s="27" customFormat="1" ht="19.5" customHeight="1">
      <c r="A15" s="68" t="s">
        <v>54</v>
      </c>
      <c r="B15" s="69" t="s">
        <v>55</v>
      </c>
      <c r="C15" s="70" t="s">
        <v>56</v>
      </c>
      <c r="D15" s="70" t="s">
        <v>59</v>
      </c>
      <c r="E15" s="71" t="s">
        <v>65</v>
      </c>
      <c r="F15" s="72"/>
      <c r="G15" s="72"/>
      <c r="H15" s="72"/>
      <c r="I15" s="72" t="s">
        <v>62</v>
      </c>
      <c r="J15" s="47"/>
      <c r="K15" s="42"/>
    </row>
    <row r="16" spans="1:11" s="27" customFormat="1" ht="19.5" customHeight="1">
      <c r="A16" s="69">
        <f>(G8-(B16/H4))*2/G8</f>
        <v>0.013347819338817502</v>
      </c>
      <c r="B16" s="69">
        <f>(C4/I4)/(A8-3)</f>
        <v>1.241657612913239</v>
      </c>
      <c r="C16" s="73">
        <f>(A8-3)*C8/G8</f>
        <v>291.53846153846155</v>
      </c>
      <c r="D16" s="74">
        <f>(E8*J4)/(A8+E8*J4)</f>
        <v>0.4831686091373283</v>
      </c>
      <c r="E16" s="65">
        <f>(A8*H4*(1-H4))/(2*0.08*D4*1000*(C4/J4))</f>
        <v>0.000446454326923077</v>
      </c>
      <c r="F16" s="65"/>
      <c r="G16" s="65"/>
      <c r="H16" s="65"/>
      <c r="I16" s="75">
        <f>(J4*H4*(1-H4))/(2*0.08*D4*1000*(C4/J4))*1000000</f>
        <v>86.77884615384616</v>
      </c>
      <c r="J16" s="73">
        <f>6.6/SQRT(D4*1000)*10</f>
        <v>0.2588732983824029</v>
      </c>
      <c r="K16" s="42"/>
    </row>
    <row r="17" spans="1:11" ht="15.75">
      <c r="A17" s="37"/>
      <c r="B17" s="37"/>
      <c r="C17" s="38" t="s">
        <v>66</v>
      </c>
      <c r="D17" s="38" t="s">
        <v>67</v>
      </c>
      <c r="E17" s="37"/>
      <c r="F17" s="37"/>
      <c r="G17" s="37"/>
      <c r="H17" s="37"/>
      <c r="I17" s="37" t="s">
        <v>60</v>
      </c>
      <c r="J17" s="37"/>
      <c r="K17" s="37"/>
    </row>
    <row r="18" spans="1:11" ht="14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4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4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4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4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4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14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14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1:11" ht="14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30" spans="1:2" ht="14.25">
      <c r="A30" s="2" t="s">
        <v>107</v>
      </c>
      <c r="B30" s="2" t="s">
        <v>108</v>
      </c>
    </row>
    <row r="31" spans="1:2" ht="14.25">
      <c r="A31" s="2">
        <f>A8*A8*C8*C8/(2*D8*(C4/I4))</f>
        <v>156.18852163461543</v>
      </c>
      <c r="B31" s="2">
        <f>B8*100000000/(4*D4*G4*H8*10000000)</f>
        <v>76.4423076923077</v>
      </c>
    </row>
  </sheetData>
  <mergeCells count="1">
    <mergeCell ref="A1:H1"/>
  </mergeCells>
  <hyperlinks>
    <hyperlink ref="A2" location="反激!A2" tooltip=" " display="最小AC电压"/>
  </hyperlinks>
  <printOptions/>
  <pageMargins left="0.5" right="0.5" top="0.5" bottom="0.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T16"/>
  <sheetViews>
    <sheetView defaultGridColor="0" zoomScale="87" zoomScaleNormal="87" colorId="22" workbookViewId="0" topLeftCell="A1">
      <selection activeCell="B35" sqref="B35"/>
    </sheetView>
  </sheetViews>
  <sheetFormatPr defaultColWidth="11.625" defaultRowHeight="14.25"/>
  <cols>
    <col min="1" max="1" width="13.00390625" style="1" bestFit="1" customWidth="1"/>
    <col min="2" max="9" width="11.00390625" style="1" bestFit="1" customWidth="1"/>
    <col min="10" max="16384" width="11.625" style="1" customWidth="1"/>
  </cols>
  <sheetData>
    <row r="1" spans="1:8" s="3" customFormat="1" ht="26.25" thickBot="1">
      <c r="A1" s="79" t="s">
        <v>41</v>
      </c>
      <c r="B1" s="79"/>
      <c r="C1" s="79"/>
      <c r="D1" s="79"/>
      <c r="E1" s="79"/>
      <c r="F1" s="79"/>
      <c r="G1" s="79"/>
      <c r="H1" s="79"/>
    </row>
    <row r="2" spans="1:12" s="20" customFormat="1" ht="14.25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9" t="s">
        <v>8</v>
      </c>
      <c r="J2" s="22"/>
      <c r="K2" s="22"/>
      <c r="L2" s="22"/>
    </row>
    <row r="3" spans="1:12" ht="14.25">
      <c r="A3" s="8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9"/>
      <c r="J3" s="7"/>
      <c r="K3" s="7"/>
      <c r="L3" s="7"/>
    </row>
    <row r="4" spans="1:12" ht="15" thickBot="1">
      <c r="A4" s="10">
        <v>170</v>
      </c>
      <c r="B4" s="11">
        <v>170</v>
      </c>
      <c r="C4" s="11">
        <v>300</v>
      </c>
      <c r="D4" s="11">
        <v>65</v>
      </c>
      <c r="E4" s="11">
        <v>8</v>
      </c>
      <c r="F4" s="11">
        <v>0.35</v>
      </c>
      <c r="G4" s="11">
        <v>0.2</v>
      </c>
      <c r="H4" s="11">
        <v>0.4</v>
      </c>
      <c r="I4" s="14">
        <v>0.82</v>
      </c>
      <c r="J4" s="7"/>
      <c r="K4" s="7"/>
      <c r="L4" s="7"/>
    </row>
    <row r="5" spans="1:12" ht="1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20" customFormat="1" ht="14.25">
      <c r="A6" s="17" t="s">
        <v>17</v>
      </c>
      <c r="B6" s="18" t="s">
        <v>18</v>
      </c>
      <c r="C6" s="18" t="s">
        <v>42</v>
      </c>
      <c r="D6" s="18"/>
      <c r="E6" s="18"/>
      <c r="F6" s="18" t="s">
        <v>19</v>
      </c>
      <c r="G6" s="23" t="s">
        <v>20</v>
      </c>
      <c r="H6" s="18" t="s">
        <v>21</v>
      </c>
      <c r="I6" s="19" t="s">
        <v>22</v>
      </c>
      <c r="J6" s="22"/>
      <c r="K6" s="22"/>
      <c r="L6" s="22"/>
    </row>
    <row r="7" spans="1:9" ht="14.25">
      <c r="A7" s="8" t="s">
        <v>9</v>
      </c>
      <c r="B7" s="5" t="s">
        <v>10</v>
      </c>
      <c r="C7" s="5" t="s">
        <v>43</v>
      </c>
      <c r="D7" s="5"/>
      <c r="E7" s="5"/>
      <c r="F7" s="5" t="s">
        <v>25</v>
      </c>
      <c r="G7" s="6" t="s">
        <v>26</v>
      </c>
      <c r="H7" s="5" t="s">
        <v>27</v>
      </c>
      <c r="I7" s="9" t="s">
        <v>27</v>
      </c>
    </row>
    <row r="8" spans="1:9" ht="15" thickBot="1">
      <c r="A8" s="10">
        <f>(A4*1.2)</f>
        <v>204.00000000000003</v>
      </c>
      <c r="B8" s="11">
        <f>(B4*1.35)</f>
        <v>229.50000000000003</v>
      </c>
      <c r="C8" s="11">
        <v>0.35</v>
      </c>
      <c r="D8" s="16"/>
      <c r="E8" s="11"/>
      <c r="F8" s="16">
        <v>200</v>
      </c>
      <c r="G8" s="13"/>
      <c r="H8" s="11">
        <v>1.24</v>
      </c>
      <c r="I8" s="14"/>
    </row>
    <row r="9" spans="1:9" ht="15" thickBot="1">
      <c r="A9" s="7"/>
      <c r="B9" s="7"/>
      <c r="C9" s="7"/>
      <c r="D9" s="7"/>
      <c r="E9" s="7"/>
      <c r="F9" s="7"/>
      <c r="G9" s="7"/>
      <c r="H9" s="7"/>
      <c r="I9" s="7"/>
    </row>
    <row r="10" spans="1:254" s="20" customFormat="1" ht="14.25">
      <c r="A10" s="17" t="s">
        <v>28</v>
      </c>
      <c r="B10" s="18" t="s">
        <v>30</v>
      </c>
      <c r="C10" s="18" t="s">
        <v>33</v>
      </c>
      <c r="D10" s="18" t="s">
        <v>31</v>
      </c>
      <c r="E10" s="18" t="s">
        <v>32</v>
      </c>
      <c r="F10" s="18"/>
      <c r="G10" s="18"/>
      <c r="H10" s="18"/>
      <c r="I10" s="19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2" ht="14.25">
      <c r="A11" s="8" t="s">
        <v>35</v>
      </c>
      <c r="B11" s="5" t="s">
        <v>38</v>
      </c>
      <c r="C11" s="5" t="s">
        <v>44</v>
      </c>
      <c r="D11" s="5" t="s">
        <v>39</v>
      </c>
      <c r="E11" s="5" t="s">
        <v>40</v>
      </c>
      <c r="F11" s="5"/>
      <c r="G11" s="5"/>
      <c r="H11" s="5"/>
      <c r="I11" s="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</row>
    <row r="12" spans="1:252" ht="15" thickBot="1">
      <c r="A12" s="15">
        <f>(10*A8*H4/(D4*G4*H8))</f>
        <v>50.62034739454095</v>
      </c>
      <c r="B12" s="16">
        <f>(1.1*C4/(A8*H4*I4))</f>
        <v>4.931850789096125</v>
      </c>
      <c r="C12" s="16">
        <f>(B12*SQRT(H4))</f>
        <v>3.119176314728494</v>
      </c>
      <c r="D12" s="16">
        <f>SQRT(4*E12/3.1416)</f>
        <v>0.7045787166755639</v>
      </c>
      <c r="E12" s="16">
        <f>(B12*SQRT(H4)/E4)</f>
        <v>0.38989703934106174</v>
      </c>
      <c r="F12" s="16"/>
      <c r="G12" s="11"/>
      <c r="H12" s="11"/>
      <c r="I12" s="14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</row>
    <row r="13" ht="15" thickBot="1"/>
    <row r="14" spans="1:254" s="20" customFormat="1" ht="14.25">
      <c r="A14" s="17" t="s">
        <v>51</v>
      </c>
      <c r="B14" s="18" t="s">
        <v>34</v>
      </c>
      <c r="C14" s="18" t="s">
        <v>45</v>
      </c>
      <c r="D14" s="18"/>
      <c r="E14" s="18" t="s">
        <v>46</v>
      </c>
      <c r="F14" s="18"/>
      <c r="G14" s="18"/>
      <c r="H14" s="18"/>
      <c r="I14" s="19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2" ht="14.25">
      <c r="A15" s="8" t="s">
        <v>47</v>
      </c>
      <c r="B15" s="5"/>
      <c r="C15" s="5" t="s">
        <v>48</v>
      </c>
      <c r="D15" s="5"/>
      <c r="E15" s="5"/>
      <c r="F15" s="5"/>
      <c r="G15" s="5"/>
      <c r="H15" s="5"/>
      <c r="I15" s="9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</row>
    <row r="16" spans="1:252" ht="15" thickBot="1">
      <c r="A16" s="15">
        <v>5</v>
      </c>
      <c r="B16" s="12">
        <f>(A12*A16/(E12*4700))</f>
        <v>0.1381170615951802</v>
      </c>
      <c r="C16" s="16">
        <f>(2*C12*C12*B16)</f>
        <v>2.6875538491298783</v>
      </c>
      <c r="D16" s="16"/>
      <c r="E16" s="16"/>
      <c r="F16" s="16"/>
      <c r="G16" s="11"/>
      <c r="H16" s="11"/>
      <c r="I16" s="14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</row>
  </sheetData>
  <mergeCells count="1">
    <mergeCell ref="A1:H1"/>
  </mergeCells>
  <printOptions/>
  <pageMargins left="0.5" right="0.5" top="0.5" bottom="0.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C18" sqref="C18"/>
    </sheetView>
  </sheetViews>
  <sheetFormatPr defaultColWidth="9.00390625" defaultRowHeight="14.25"/>
  <cols>
    <col min="1" max="1" width="12.375" style="0" customWidth="1"/>
    <col min="2" max="2" width="12.125" style="0" customWidth="1"/>
    <col min="3" max="3" width="13.125" style="0" customWidth="1"/>
    <col min="4" max="4" width="13.50390625" style="0" customWidth="1"/>
  </cols>
  <sheetData>
    <row r="1" spans="1:4" ht="14.25">
      <c r="A1" s="80" t="s">
        <v>76</v>
      </c>
      <c r="B1" s="80"/>
      <c r="C1" s="80"/>
      <c r="D1" s="80"/>
    </row>
    <row r="2" spans="1:4" ht="14.25">
      <c r="A2" s="80"/>
      <c r="B2" s="80"/>
      <c r="C2" s="80"/>
      <c r="D2" s="80"/>
    </row>
    <row r="3" spans="1:4" ht="14.25">
      <c r="A3" s="81"/>
      <c r="B3" s="81"/>
      <c r="C3" s="81"/>
      <c r="D3" s="81"/>
    </row>
    <row r="4" spans="1:7" ht="15.75">
      <c r="A4" s="31" t="s">
        <v>69</v>
      </c>
      <c r="B4" s="31" t="s">
        <v>70</v>
      </c>
      <c r="C4" s="31" t="s">
        <v>71</v>
      </c>
      <c r="D4" s="32"/>
      <c r="E4" s="28"/>
      <c r="F4" s="28"/>
      <c r="G4" s="28"/>
    </row>
    <row r="5" spans="1:5" ht="32.25" customHeight="1">
      <c r="A5" s="30">
        <f>1/(2*3.1415*D7*A7*0.001)</f>
        <v>11.130044553568347</v>
      </c>
      <c r="B5" s="30">
        <f>2*3.1415*D7*B7</f>
        <v>8167.900000000001</v>
      </c>
      <c r="C5" s="30" t="s">
        <v>68</v>
      </c>
      <c r="D5" s="29"/>
      <c r="E5" s="28"/>
    </row>
    <row r="6" spans="1:5" ht="16.5">
      <c r="A6" s="34" t="s">
        <v>72</v>
      </c>
      <c r="B6" s="31" t="s">
        <v>73</v>
      </c>
      <c r="C6" s="35" t="s">
        <v>74</v>
      </c>
      <c r="D6" s="32" t="s">
        <v>75</v>
      </c>
      <c r="E6" s="28"/>
    </row>
    <row r="7" spans="1:5" ht="28.5" customHeight="1">
      <c r="A7" s="33">
        <v>0.22</v>
      </c>
      <c r="B7" s="33">
        <v>20</v>
      </c>
      <c r="C7" s="33"/>
      <c r="D7" s="33">
        <v>65</v>
      </c>
      <c r="E7" s="28"/>
    </row>
    <row r="8" spans="1:5" ht="14.25">
      <c r="A8" s="28"/>
      <c r="B8" s="28"/>
      <c r="C8" s="28"/>
      <c r="D8" s="28"/>
      <c r="E8" s="28"/>
    </row>
    <row r="9" spans="1:5" ht="16.5" customHeight="1">
      <c r="A9" s="82" t="s">
        <v>104</v>
      </c>
      <c r="B9" s="83"/>
      <c r="C9" s="83"/>
      <c r="D9" s="83"/>
      <c r="E9" s="28"/>
    </row>
    <row r="10" spans="1:5" ht="14.25">
      <c r="A10" s="83"/>
      <c r="B10" s="83"/>
      <c r="C10" s="83"/>
      <c r="D10" s="83"/>
      <c r="E10" s="28"/>
    </row>
    <row r="11" spans="1:5" ht="14.25">
      <c r="A11" s="83"/>
      <c r="B11" s="83"/>
      <c r="C11" s="83"/>
      <c r="D11" s="83"/>
      <c r="E11" s="28"/>
    </row>
    <row r="12" spans="1:5" ht="14.25">
      <c r="A12" s="28"/>
      <c r="B12" s="28"/>
      <c r="C12" s="28"/>
      <c r="D12" s="28"/>
      <c r="E12" s="28"/>
    </row>
    <row r="13" spans="1:5" ht="14.25">
      <c r="A13" s="28" t="s">
        <v>105</v>
      </c>
      <c r="B13" s="28"/>
      <c r="C13" s="28"/>
      <c r="D13" s="28"/>
      <c r="E13" s="28"/>
    </row>
  </sheetData>
  <mergeCells count="2">
    <mergeCell ref="A1:D3"/>
    <mergeCell ref="A9:D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12"/>
  <sheetViews>
    <sheetView defaultGridColor="0" zoomScale="87" zoomScaleNormal="87" colorId="22" workbookViewId="0" topLeftCell="A1">
      <selection activeCell="I8" sqref="I8"/>
    </sheetView>
  </sheetViews>
  <sheetFormatPr defaultColWidth="11.625" defaultRowHeight="14.25"/>
  <cols>
    <col min="1" max="9" width="11.00390625" style="1" bestFit="1" customWidth="1"/>
    <col min="10" max="16384" width="11.625" style="1" customWidth="1"/>
  </cols>
  <sheetData>
    <row r="1" spans="1:8" s="3" customFormat="1" ht="26.25" thickBot="1">
      <c r="A1" s="84" t="s">
        <v>49</v>
      </c>
      <c r="B1" s="84"/>
      <c r="C1" s="84"/>
      <c r="D1" s="84"/>
      <c r="E1" s="84"/>
      <c r="F1" s="84"/>
      <c r="G1" s="84"/>
      <c r="H1" s="84"/>
    </row>
    <row r="2" spans="1:9" s="20" customFormat="1" ht="14.25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9" t="s">
        <v>8</v>
      </c>
    </row>
    <row r="3" spans="1:9" ht="14.25">
      <c r="A3" s="8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9"/>
    </row>
    <row r="4" spans="1:9" ht="15" thickBot="1">
      <c r="A4" s="10">
        <v>150</v>
      </c>
      <c r="B4" s="11">
        <v>275</v>
      </c>
      <c r="C4" s="11">
        <v>400</v>
      </c>
      <c r="D4" s="11">
        <v>75</v>
      </c>
      <c r="E4" s="11">
        <v>5</v>
      </c>
      <c r="F4" s="11">
        <v>0.28</v>
      </c>
      <c r="G4" s="11">
        <v>0.15</v>
      </c>
      <c r="H4" s="11">
        <v>0.48</v>
      </c>
      <c r="I4" s="14">
        <v>0.9</v>
      </c>
    </row>
    <row r="5" spans="1:9" ht="15" thickBot="1">
      <c r="A5" s="7"/>
      <c r="B5" s="7"/>
      <c r="C5" s="7"/>
      <c r="D5" s="7"/>
      <c r="E5" s="7"/>
      <c r="F5" s="7"/>
      <c r="G5" s="7"/>
      <c r="H5" s="7"/>
      <c r="I5" s="7"/>
    </row>
    <row r="6" spans="1:9" s="20" customFormat="1" ht="14.25">
      <c r="A6" s="17" t="s">
        <v>17</v>
      </c>
      <c r="B6" s="18" t="s">
        <v>18</v>
      </c>
      <c r="C6" s="18" t="s">
        <v>50</v>
      </c>
      <c r="D6" s="18"/>
      <c r="E6" s="18"/>
      <c r="F6" s="18" t="s">
        <v>19</v>
      </c>
      <c r="G6" s="21" t="s">
        <v>20</v>
      </c>
      <c r="H6" s="18" t="s">
        <v>21</v>
      </c>
      <c r="I6" s="19" t="s">
        <v>22</v>
      </c>
    </row>
    <row r="7" spans="1:9" ht="14.25">
      <c r="A7" s="8" t="s">
        <v>9</v>
      </c>
      <c r="B7" s="5" t="s">
        <v>10</v>
      </c>
      <c r="C7" s="5" t="s">
        <v>43</v>
      </c>
      <c r="D7" s="5"/>
      <c r="E7" s="5"/>
      <c r="F7" s="5" t="s">
        <v>25</v>
      </c>
      <c r="G7" s="6" t="s">
        <v>26</v>
      </c>
      <c r="H7" s="5" t="s">
        <v>27</v>
      </c>
      <c r="I7" s="9" t="s">
        <v>27</v>
      </c>
    </row>
    <row r="8" spans="1:9" ht="15" thickBot="1">
      <c r="A8" s="10">
        <f>(A4*1.2)</f>
        <v>180.00000000000003</v>
      </c>
      <c r="B8" s="11">
        <f>(B4*1.35)</f>
        <v>371.25</v>
      </c>
      <c r="C8" s="11">
        <f>(B8*G4/A8)</f>
        <v>0.30937499999999996</v>
      </c>
      <c r="D8" s="16"/>
      <c r="E8" s="11"/>
      <c r="F8" s="16">
        <f>(0.05*C4*SQRT(2*H4)/(D4*G4*E4*F4))</f>
        <v>1.2441852661755823</v>
      </c>
      <c r="G8" s="13"/>
      <c r="H8" s="11">
        <v>1</v>
      </c>
      <c r="I8" s="14"/>
    </row>
    <row r="9" spans="1:9" ht="15" thickBot="1">
      <c r="A9" s="7"/>
      <c r="B9" s="7"/>
      <c r="C9" s="7"/>
      <c r="D9" s="7"/>
      <c r="E9" s="7"/>
      <c r="F9" s="7"/>
      <c r="G9" s="7"/>
      <c r="H9" s="7"/>
      <c r="I9" s="7"/>
    </row>
    <row r="10" spans="1:9" s="20" customFormat="1" ht="14.25">
      <c r="A10" s="17" t="s">
        <v>28</v>
      </c>
      <c r="B10" s="18" t="s">
        <v>33</v>
      </c>
      <c r="C10" s="18" t="s">
        <v>31</v>
      </c>
      <c r="D10" s="18" t="s">
        <v>32</v>
      </c>
      <c r="E10" s="18"/>
      <c r="F10" s="18"/>
      <c r="G10" s="18"/>
      <c r="H10" s="18"/>
      <c r="I10" s="19"/>
    </row>
    <row r="11" spans="1:9" ht="14.25">
      <c r="A11" s="8" t="s">
        <v>35</v>
      </c>
      <c r="B11" s="5" t="s">
        <v>44</v>
      </c>
      <c r="C11" s="5" t="s">
        <v>39</v>
      </c>
      <c r="D11" s="5" t="s">
        <v>40</v>
      </c>
      <c r="E11" s="5"/>
      <c r="F11" s="5"/>
      <c r="G11" s="5"/>
      <c r="H11" s="5"/>
      <c r="I11" s="9"/>
    </row>
    <row r="12" spans="1:9" ht="15" thickBot="1">
      <c r="A12" s="15">
        <f>(5*A8*H4/(D4*G4*H8))</f>
        <v>38.400000000000006</v>
      </c>
      <c r="B12" s="16">
        <f>(C4/(A8*SQRT(2*H4)))/I4</f>
        <v>2.5200511757028576</v>
      </c>
      <c r="C12" s="16">
        <f>SQRT(4*D12/3.1416)</f>
        <v>0.8010769386905179</v>
      </c>
      <c r="D12" s="16">
        <f>(B12/E4)</f>
        <v>0.5040102351405715</v>
      </c>
      <c r="E12" s="11"/>
      <c r="F12" s="16"/>
      <c r="G12" s="11"/>
      <c r="H12" s="11"/>
      <c r="I12" s="14"/>
    </row>
  </sheetData>
  <mergeCells count="1">
    <mergeCell ref="A1:H1"/>
  </mergeCells>
  <printOptions/>
  <pageMargins left="0.5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wangyunguo</dc:creator>
  <cp:keywords/>
  <dc:description/>
  <cp:lastModifiedBy>微软用户</cp:lastModifiedBy>
  <dcterms:created xsi:type="dcterms:W3CDTF">2001-07-22T09:43:11Z</dcterms:created>
  <dcterms:modified xsi:type="dcterms:W3CDTF">2009-03-09T14:44:31Z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