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9675" activeTab="2"/>
  </bookViews>
  <sheets>
    <sheet name="技术指标" sheetId="1" r:id="rId1"/>
    <sheet name="估算Viper" sheetId="2" r:id="rId2"/>
    <sheet name="电源" sheetId="3" r:id="rId3"/>
  </sheets>
  <definedNames>
    <definedName name="Cdc">#REF!/1000</definedName>
    <definedName name="D">#REF!</definedName>
    <definedName name="Dmax">#REF!</definedName>
    <definedName name="Eff">#REF!/100</definedName>
    <definedName name="Et">#REF!</definedName>
    <definedName name="fL">#REF!</definedName>
    <definedName name="Iin">#REF!</definedName>
    <definedName name="IL">#REF!</definedName>
    <definedName name="ILR">#REF!</definedName>
    <definedName name="Io">#REF!</definedName>
    <definedName name="Ior">#REF!</definedName>
    <definedName name="Ipk">#REF!</definedName>
    <definedName name="Lp">#REF!</definedName>
    <definedName name="Pin">#REF!</definedName>
    <definedName name="Po">#REF!</definedName>
    <definedName name="ton">#REF!</definedName>
    <definedName name="V_line_max">#REF!</definedName>
    <definedName name="V_line_min">#REF!</definedName>
    <definedName name="VACmax">#REF!</definedName>
    <definedName name="VACmin">#REF!</definedName>
    <definedName name="Vdc_max">#REF!</definedName>
    <definedName name="Vdc_min">#REF!</definedName>
    <definedName name="Vfi">#REF!</definedName>
    <definedName name="Vin_min">#REF!</definedName>
    <definedName name="Von">#REF!</definedName>
    <definedName name="Vor">#REF!</definedName>
    <definedName name="Vz">#REF!</definedName>
  </definedNames>
  <calcPr fullCalcOnLoad="1"/>
</workbook>
</file>

<file path=xl/sharedStrings.xml><?xml version="1.0" encoding="utf-8"?>
<sst xmlns="http://schemas.openxmlformats.org/spreadsheetml/2006/main" count="147" uniqueCount="124">
  <si>
    <t>输入：</t>
  </si>
  <si>
    <t>输出：</t>
  </si>
  <si>
    <t>电压</t>
  </si>
  <si>
    <t>最大电流</t>
  </si>
  <si>
    <t>最小电流</t>
  </si>
  <si>
    <t>=</t>
  </si>
  <si>
    <t xml:space="preserve"> </t>
  </si>
  <si>
    <t>额定输出功率</t>
  </si>
  <si>
    <t>电压</t>
  </si>
  <si>
    <t>电流</t>
  </si>
  <si>
    <t>功率</t>
  </si>
  <si>
    <t>14AWG</t>
  </si>
  <si>
    <t>小计</t>
  </si>
  <si>
    <t>Pout</t>
  </si>
  <si>
    <t>估计输入功率</t>
  </si>
  <si>
    <t>效率</t>
  </si>
  <si>
    <t>Pin</t>
  </si>
  <si>
    <t>交流流输入电压</t>
  </si>
  <si>
    <t>Vin(Hi)</t>
  </si>
  <si>
    <t>直流输入电压</t>
  </si>
  <si>
    <t>AC220V</t>
  </si>
  <si>
    <t>Vin(Low)</t>
  </si>
  <si>
    <t>=1.414*AC270</t>
  </si>
  <si>
    <t>Vin(high)</t>
  </si>
  <si>
    <t>=1.414*AC241</t>
  </si>
  <si>
    <t>DC341V</t>
  </si>
  <si>
    <t>平均输入电流</t>
  </si>
  <si>
    <t>Iin(max)</t>
  </si>
  <si>
    <t>最大平均值</t>
  </si>
  <si>
    <t>Iin(min)</t>
  </si>
  <si>
    <t>最小平均值</t>
  </si>
  <si>
    <t>Iin(op)</t>
  </si>
  <si>
    <t>估计最大峰值电流</t>
  </si>
  <si>
    <t>Ipk②反激</t>
  </si>
  <si>
    <t>DC249V</t>
  </si>
  <si>
    <t>Vin(nom)</t>
  </si>
  <si>
    <t>=1.414*AC225</t>
  </si>
  <si>
    <t>DC318V</t>
  </si>
  <si>
    <t>功率开关管</t>
  </si>
  <si>
    <t>MOSFFTE</t>
  </si>
  <si>
    <t>Vdss</t>
  </si>
  <si>
    <t>Id</t>
  </si>
  <si>
    <t>1.5×Vin(Max)</t>
  </si>
  <si>
    <t>2Pout/[Vin(min)]</t>
  </si>
  <si>
    <t>=</t>
  </si>
  <si>
    <t>mH</t>
  </si>
  <si>
    <t>A</t>
  </si>
  <si>
    <t>=</t>
  </si>
  <si>
    <t>0.05A</t>
  </si>
  <si>
    <t>DC382V</t>
  </si>
  <si>
    <t>uH</t>
  </si>
  <si>
    <t>Ae</t>
  </si>
  <si>
    <t>Le</t>
  </si>
  <si>
    <t>Ve=Ae*Le</t>
  </si>
  <si>
    <t>10W</t>
  </si>
  <si>
    <t xml:space="preserve">EF20 </t>
  </si>
  <si>
    <t>Ac</t>
  </si>
  <si>
    <t>Vin(Low)</t>
  </si>
  <si>
    <t>一、反激电压</t>
  </si>
  <si>
    <t>VMos-VinDCMax-150V</t>
  </si>
  <si>
    <r>
      <t>V</t>
    </r>
    <r>
      <rPr>
        <vertAlign val="subscript"/>
        <sz val="12"/>
        <rFont val="宋体"/>
        <family val="0"/>
      </rPr>
      <t xml:space="preserve">f </t>
    </r>
    <r>
      <rPr>
        <sz val="12"/>
        <rFont val="宋体"/>
        <family val="0"/>
      </rPr>
      <t>=</t>
    </r>
  </si>
  <si>
    <t>二、原、副边的匝比</t>
  </si>
  <si>
    <r>
      <t>N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/N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=</t>
    </r>
  </si>
  <si>
    <t>Vf/Vout</t>
  </si>
  <si>
    <t>＝</t>
  </si>
  <si>
    <t>15V</t>
  </si>
  <si>
    <t>15/1</t>
  </si>
  <si>
    <t>原边电感量</t>
  </si>
  <si>
    <t xml:space="preserve">Lp= </t>
  </si>
  <si>
    <t>DMax•VinDCMin/fs•ΔIp</t>
  </si>
  <si>
    <r>
      <t>l</t>
    </r>
    <r>
      <rPr>
        <vertAlign val="subscript"/>
        <sz val="12"/>
        <rFont val="宋体"/>
        <family val="0"/>
      </rPr>
      <t>g</t>
    </r>
    <r>
      <rPr>
        <sz val="12"/>
        <rFont val="宋体"/>
        <family val="0"/>
      </rPr>
      <t>=</t>
    </r>
  </si>
  <si>
    <t>Lp</t>
  </si>
  <si>
    <t>三、最大占空比</t>
  </si>
  <si>
    <r>
      <t>V</t>
    </r>
    <r>
      <rPr>
        <vertAlign val="subscript"/>
        <sz val="12"/>
        <rFont val="宋体"/>
        <family val="0"/>
      </rPr>
      <t>inDCMin</t>
    </r>
    <r>
      <rPr>
        <sz val="12"/>
        <rFont val="宋体"/>
        <family val="0"/>
      </rPr>
      <t>•D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=V</t>
    </r>
    <r>
      <rPr>
        <vertAlign val="subscript"/>
        <sz val="12"/>
        <rFont val="宋体"/>
        <family val="0"/>
      </rPr>
      <t>f</t>
    </r>
    <r>
      <rPr>
        <sz val="12"/>
        <rFont val="宋体"/>
        <family val="0"/>
      </rPr>
      <t>•(1-D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)</t>
    </r>
  </si>
  <si>
    <t>Fs</t>
  </si>
  <si>
    <t>H</t>
  </si>
  <si>
    <t xml:space="preserve"> </t>
  </si>
  <si>
    <t>VinDCMax</t>
  </si>
  <si>
    <t>VinDCmin</t>
  </si>
  <si>
    <t>Dmax=Vf/(VinDCmin+Vf)</t>
  </si>
  <si>
    <t>DMax * VinDCMin/fs * 2Ip1</t>
  </si>
  <si>
    <t>原边电流</t>
  </si>
  <si>
    <t>Pout</t>
  </si>
  <si>
    <t>η</t>
  </si>
  <si>
    <r>
      <t>A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为磁芯窗口面积，单位为cm</t>
    </r>
    <r>
      <rPr>
        <vertAlign val="superscript"/>
        <sz val="12"/>
        <rFont val="宋体"/>
        <family val="0"/>
      </rPr>
      <t>2</t>
    </r>
  </si>
  <si>
    <t>Ae为磁芯截面积， 单位为cm2</t>
  </si>
  <si>
    <t>Lp为原边电感量， 单位为H</t>
  </si>
  <si>
    <t>Kj为电流密度系 数，一般取395A/cm2</t>
  </si>
  <si>
    <t>=</t>
  </si>
  <si>
    <t>Bw*K0*Kj</t>
  </si>
  <si>
    <t>(Lp*(3*Ip1)^2*10^4/Bw*K0*Kj)^1.14</t>
  </si>
  <si>
    <t>Ip2为原边峰值电 流，单位为A。 一般连续模式设计，我们令Ip2=3Ip1</t>
  </si>
  <si>
    <t>K0为窗口有效使用 系数，根据安规的要求和输出路数决定，一般为0.2~0.4</t>
  </si>
  <si>
    <t>Bw为磁芯工作磁感 应强度，单位为T一般功率不大时,大约为0.20--0.25T. 功率比较大时,要取小一点,0.15--0.20左右</t>
  </si>
  <si>
    <t>AW</t>
  </si>
  <si>
    <t>AwAe</t>
  </si>
  <si>
    <r>
      <t>连续模式 I</t>
    </r>
    <r>
      <rPr>
        <vertAlign val="subscript"/>
        <sz val="12"/>
        <rFont val="宋体"/>
        <family val="0"/>
      </rPr>
      <t>p2</t>
    </r>
    <r>
      <rPr>
        <sz val="12"/>
        <rFont val="宋体"/>
        <family val="0"/>
      </rPr>
      <t>=3I</t>
    </r>
    <r>
      <rPr>
        <vertAlign val="subscript"/>
        <sz val="12"/>
        <rFont val="宋体"/>
        <family val="0"/>
      </rPr>
      <t>p1</t>
    </r>
  </si>
  <si>
    <r>
      <t>A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A</t>
    </r>
    <r>
      <rPr>
        <vertAlign val="subscript"/>
        <sz val="12"/>
        <rFont val="宋体"/>
        <family val="0"/>
      </rPr>
      <t>e</t>
    </r>
    <r>
      <rPr>
        <sz val="12"/>
        <rFont val="宋体"/>
        <family val="0"/>
      </rPr>
      <t>=(L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•I</t>
    </r>
    <r>
      <rPr>
        <vertAlign val="subscript"/>
        <sz val="12"/>
        <rFont val="宋体"/>
        <family val="0"/>
      </rPr>
      <t>p2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•10^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/B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•K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•K</t>
    </r>
    <r>
      <rPr>
        <vertAlign val="subscript"/>
        <sz val="12"/>
        <rFont val="宋体"/>
        <family val="0"/>
      </rPr>
      <t>j</t>
    </r>
    <r>
      <rPr>
        <sz val="12"/>
        <rFont val="宋体"/>
        <family val="0"/>
      </rPr>
      <t>)^</t>
    </r>
    <r>
      <rPr>
        <vertAlign val="superscript"/>
        <sz val="12"/>
        <rFont val="宋体"/>
        <family val="0"/>
      </rPr>
      <t>1.14</t>
    </r>
  </si>
  <si>
    <t>原边的匝数</t>
  </si>
  <si>
    <r>
      <t>N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 xml:space="preserve">= </t>
    </r>
  </si>
  <si>
    <t>Lp*Ip2*10^4</t>
  </si>
  <si>
    <t>Bw*Ae</t>
  </si>
  <si>
    <t>Np/Ns</t>
  </si>
  <si>
    <t>Ns15</t>
  </si>
  <si>
    <t>0.4π*Np^2*Ae*10^(-8)</t>
  </si>
  <si>
    <t>cm</t>
  </si>
  <si>
    <t>mm</t>
  </si>
  <si>
    <t>气隙</t>
  </si>
  <si>
    <r>
      <t>由A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A</t>
    </r>
    <r>
      <rPr>
        <vertAlign val="subscript"/>
        <sz val="12"/>
        <rFont val="宋体"/>
        <family val="0"/>
      </rPr>
      <t>e</t>
    </r>
    <r>
      <rPr>
        <sz val="12"/>
        <rFont val="宋体"/>
        <family val="0"/>
      </rPr>
      <t>法求出所要铁芯</t>
    </r>
  </si>
  <si>
    <t>(Lp*(3Ip1)^2*10^4)</t>
  </si>
  <si>
    <t>^1.14</t>
  </si>
  <si>
    <t>AC190-AC240V, 50/60HZ</t>
  </si>
  <si>
    <t>0.5A</t>
  </si>
  <si>
    <t>=1.414*AC190</t>
  </si>
  <si>
    <t>=10W/DC261V</t>
  </si>
  <si>
    <t>=10W/DC340V</t>
  </si>
  <si>
    <t>=10W/319V</t>
  </si>
  <si>
    <r>
      <t>=5.5*</t>
    </r>
    <r>
      <rPr>
        <sz val="12"/>
        <rFont val="宋体"/>
        <family val="0"/>
      </rPr>
      <t>10</t>
    </r>
    <r>
      <rPr>
        <sz val="12"/>
        <rFont val="宋体"/>
        <family val="0"/>
      </rPr>
      <t>W/DC2</t>
    </r>
    <r>
      <rPr>
        <sz val="12"/>
        <rFont val="宋体"/>
        <family val="0"/>
      </rPr>
      <t>61</t>
    </r>
    <r>
      <rPr>
        <sz val="12"/>
        <rFont val="宋体"/>
        <family val="0"/>
      </rPr>
      <t>V</t>
    </r>
  </si>
  <si>
    <t>AUX</t>
  </si>
  <si>
    <r>
      <t>I</t>
    </r>
    <r>
      <rPr>
        <vertAlign val="subscript"/>
        <sz val="12"/>
        <rFont val="宋体"/>
        <family val="0"/>
      </rPr>
      <t>p1</t>
    </r>
    <r>
      <rPr>
        <sz val="12"/>
        <rFont val="宋体"/>
        <family val="0"/>
      </rPr>
      <t>=</t>
    </r>
  </si>
  <si>
    <t xml:space="preserve">(2 Pout/η) </t>
  </si>
  <si>
    <t>4*( DMax * VinDCMin)</t>
  </si>
  <si>
    <t>Nsaux</t>
  </si>
  <si>
    <t>取379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</si>
</sst>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0_ "/>
    <numFmt numFmtId="181" formatCode="0_ "/>
    <numFmt numFmtId="182" formatCode="0.00000000_ "/>
    <numFmt numFmtId="183" formatCode="0.00_ "/>
    <numFmt numFmtId="184" formatCode="0.00000_ "/>
    <numFmt numFmtId="185" formatCode="0.0_ "/>
  </numFmts>
  <fonts count="1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新細明體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bscript"/>
      <sz val="12"/>
      <name val="宋体"/>
      <family val="0"/>
    </font>
    <font>
      <sz val="10.5"/>
      <name val="Times New Roman"/>
      <family val="1"/>
    </font>
    <font>
      <vertAlign val="superscript"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 quotePrefix="1">
      <alignment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一般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4"/>
  <sheetViews>
    <sheetView workbookViewId="0" topLeftCell="A1">
      <selection activeCell="D7" sqref="D7"/>
    </sheetView>
  </sheetViews>
  <sheetFormatPr defaultColWidth="9.00390625" defaultRowHeight="14.25"/>
  <cols>
    <col min="1" max="1" width="22.875" style="0" customWidth="1"/>
    <col min="2" max="2" width="31.75390625" style="1" customWidth="1"/>
    <col min="3" max="3" width="30.00390625" style="0" customWidth="1"/>
    <col min="4" max="5" width="23.125" style="1" customWidth="1"/>
  </cols>
  <sheetData>
    <row r="3" spans="2:5" ht="18.75">
      <c r="B3" s="8"/>
      <c r="C3" s="11" t="s">
        <v>2</v>
      </c>
      <c r="D3" s="11" t="s">
        <v>3</v>
      </c>
      <c r="E3" s="11" t="s">
        <v>4</v>
      </c>
    </row>
    <row r="4" spans="2:5" ht="18.75">
      <c r="B4" s="9" t="s">
        <v>0</v>
      </c>
      <c r="C4" s="4" t="s">
        <v>111</v>
      </c>
      <c r="D4" s="3"/>
      <c r="E4" s="2"/>
    </row>
    <row r="5" spans="2:5" ht="18.75">
      <c r="B5" s="10" t="s">
        <v>1</v>
      </c>
      <c r="C5" s="6"/>
      <c r="D5" s="5"/>
      <c r="E5" s="2"/>
    </row>
    <row r="6" spans="2:5" ht="18.75">
      <c r="B6" s="5"/>
      <c r="C6" s="5" t="s">
        <v>65</v>
      </c>
      <c r="D6" s="5" t="s">
        <v>112</v>
      </c>
      <c r="E6" s="2" t="s">
        <v>48</v>
      </c>
    </row>
    <row r="7" spans="2:5" ht="18.75">
      <c r="B7" s="5"/>
      <c r="C7" s="5"/>
      <c r="D7" s="5"/>
      <c r="E7" s="2"/>
    </row>
    <row r="8" spans="2:5" ht="18.75">
      <c r="B8" s="5"/>
      <c r="C8" s="7"/>
      <c r="D8" s="5"/>
      <c r="E8" s="2"/>
    </row>
    <row r="9" spans="2:5" ht="18.75">
      <c r="B9" s="5"/>
      <c r="C9" s="7"/>
      <c r="D9" s="5"/>
      <c r="E9" s="2"/>
    </row>
    <row r="10" spans="2:5" ht="18.75">
      <c r="B10" s="5"/>
      <c r="C10" s="6"/>
      <c r="D10" s="5"/>
      <c r="E10" s="2"/>
    </row>
    <row r="11" spans="2:5" ht="18.75">
      <c r="B11" s="5"/>
      <c r="C11" s="6"/>
      <c r="D11" s="5"/>
      <c r="E11" s="2"/>
    </row>
    <row r="12" spans="2:5" ht="18.75">
      <c r="B12" s="5"/>
      <c r="C12" s="6"/>
      <c r="D12" s="5"/>
      <c r="E12" s="2"/>
    </row>
    <row r="13" spans="2:5" ht="18.75">
      <c r="B13" s="5"/>
      <c r="C13" s="6"/>
      <c r="D13" s="5"/>
      <c r="E13" s="2"/>
    </row>
    <row r="14" spans="2:5" ht="18.75">
      <c r="B14" s="5"/>
      <c r="C14" s="6"/>
      <c r="D14" s="5"/>
      <c r="E14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9"/>
  <sheetViews>
    <sheetView workbookViewId="0" topLeftCell="A22">
      <selection activeCell="F33" sqref="F33"/>
    </sheetView>
  </sheetViews>
  <sheetFormatPr defaultColWidth="9.00390625" defaultRowHeight="14.25"/>
  <cols>
    <col min="1" max="1" width="9.00390625" style="13" customWidth="1"/>
    <col min="2" max="2" width="22.625" style="13" customWidth="1"/>
    <col min="3" max="3" width="15.00390625" style="13" customWidth="1"/>
    <col min="4" max="4" width="17.75390625" style="13" customWidth="1"/>
    <col min="5" max="5" width="9.00390625" style="13" customWidth="1"/>
    <col min="6" max="6" width="15.875" style="17" customWidth="1"/>
    <col min="7" max="16384" width="9.00390625" style="13" customWidth="1"/>
  </cols>
  <sheetData>
    <row r="2" ht="18.75">
      <c r="B2" s="21" t="s">
        <v>7</v>
      </c>
    </row>
    <row r="3" spans="4:6" ht="18.75">
      <c r="D3" s="15" t="s">
        <v>8</v>
      </c>
      <c r="E3" s="15" t="s">
        <v>9</v>
      </c>
      <c r="F3" s="15" t="s">
        <v>10</v>
      </c>
    </row>
    <row r="4" spans="3:11" ht="18.75">
      <c r="C4" s="15">
        <v>1</v>
      </c>
      <c r="D4" s="12">
        <v>15</v>
      </c>
      <c r="E4" s="12">
        <v>0.5</v>
      </c>
      <c r="F4" s="17">
        <f>D4*E4</f>
        <v>7.5</v>
      </c>
      <c r="J4" s="13" t="s">
        <v>11</v>
      </c>
      <c r="K4" s="13">
        <v>1.6</v>
      </c>
    </row>
    <row r="5" spans="3:6" ht="18.75">
      <c r="C5" s="15">
        <v>2</v>
      </c>
      <c r="D5" s="12">
        <v>15</v>
      </c>
      <c r="E5" s="12">
        <v>0.05</v>
      </c>
      <c r="F5" s="17">
        <f>D5*E5</f>
        <v>0.75</v>
      </c>
    </row>
    <row r="6" spans="3:8" ht="18.75">
      <c r="C6" s="15" t="s">
        <v>12</v>
      </c>
      <c r="E6" s="13">
        <f>SUM(E4:E4)</f>
        <v>0.5</v>
      </c>
      <c r="F6" s="17">
        <f>SUM(F4:F5)</f>
        <v>8.25</v>
      </c>
      <c r="G6" s="13" t="s">
        <v>6</v>
      </c>
      <c r="H6" s="17"/>
    </row>
    <row r="7" spans="3:6" ht="18.75">
      <c r="C7" s="13" t="s">
        <v>13</v>
      </c>
      <c r="F7" s="17" t="s">
        <v>54</v>
      </c>
    </row>
    <row r="8" spans="2:5" ht="18.75">
      <c r="B8" s="14" t="s">
        <v>14</v>
      </c>
      <c r="D8" s="15" t="s">
        <v>10</v>
      </c>
      <c r="E8" s="15" t="s">
        <v>15</v>
      </c>
    </row>
    <row r="9" spans="2:5" ht="18.75">
      <c r="B9" s="14"/>
      <c r="D9" s="19">
        <v>10</v>
      </c>
      <c r="E9" s="15">
        <v>0.7</v>
      </c>
    </row>
    <row r="10" spans="2:6" ht="18.75">
      <c r="B10" s="14"/>
      <c r="C10" s="13" t="s">
        <v>16</v>
      </c>
      <c r="D10" s="16">
        <f>D9/E9</f>
        <v>14.285714285714286</v>
      </c>
      <c r="F10" s="17">
        <v>15</v>
      </c>
    </row>
    <row r="11" spans="2:4" ht="18.75">
      <c r="B11" s="14"/>
      <c r="D11" s="16"/>
    </row>
    <row r="12" spans="2:4" ht="18.75">
      <c r="B12" s="14" t="s">
        <v>17</v>
      </c>
      <c r="C12" s="13" t="s">
        <v>57</v>
      </c>
      <c r="D12" s="16">
        <v>190</v>
      </c>
    </row>
    <row r="13" spans="2:4" ht="18.75">
      <c r="B13" s="14"/>
      <c r="C13" s="13" t="s">
        <v>18</v>
      </c>
      <c r="D13" s="16">
        <v>265</v>
      </c>
    </row>
    <row r="14" spans="3:4" ht="18.75">
      <c r="C14" s="13" t="s">
        <v>35</v>
      </c>
      <c r="D14" s="13">
        <v>225</v>
      </c>
    </row>
    <row r="15" ht="18.75">
      <c r="B15" s="14" t="s">
        <v>19</v>
      </c>
    </row>
    <row r="16" spans="2:6" ht="18.75">
      <c r="B16" s="13" t="s">
        <v>20</v>
      </c>
      <c r="C16" s="13" t="s">
        <v>21</v>
      </c>
      <c r="D16" s="16" t="s">
        <v>113</v>
      </c>
      <c r="E16" s="13">
        <f>1.414*190</f>
        <v>268.65999999999997</v>
      </c>
      <c r="F16" s="17" t="s">
        <v>34</v>
      </c>
    </row>
    <row r="17" spans="3:6" ht="18.75">
      <c r="C17" s="13" t="s">
        <v>18</v>
      </c>
      <c r="D17" s="16" t="s">
        <v>22</v>
      </c>
      <c r="E17" s="13">
        <f>1.414*D13</f>
        <v>374.71</v>
      </c>
      <c r="F17" s="17" t="s">
        <v>49</v>
      </c>
    </row>
    <row r="18" spans="3:6" ht="18.75">
      <c r="C18" s="13" t="s">
        <v>23</v>
      </c>
      <c r="D18" s="16" t="s">
        <v>24</v>
      </c>
      <c r="E18" s="13">
        <f>1.414*241</f>
        <v>340.774</v>
      </c>
      <c r="F18" s="17" t="s">
        <v>25</v>
      </c>
    </row>
    <row r="19" spans="3:6" ht="18.75">
      <c r="C19" s="13" t="s">
        <v>35</v>
      </c>
      <c r="D19" s="16" t="s">
        <v>36</v>
      </c>
      <c r="E19" s="13">
        <f>1.414*225</f>
        <v>318.15</v>
      </c>
      <c r="F19" s="17" t="s">
        <v>37</v>
      </c>
    </row>
    <row r="20" ht="18.75">
      <c r="D20" s="16"/>
    </row>
    <row r="21" ht="18.75">
      <c r="D21" s="16"/>
    </row>
    <row r="23" ht="18.75">
      <c r="B23" s="14" t="s">
        <v>26</v>
      </c>
    </row>
    <row r="24" spans="3:7" ht="18.75">
      <c r="C24" s="13" t="s">
        <v>27</v>
      </c>
      <c r="D24" s="16" t="s">
        <v>114</v>
      </c>
      <c r="E24" s="13">
        <f>10/261</f>
        <v>0.038314176245210725</v>
      </c>
      <c r="G24" s="13" t="s">
        <v>28</v>
      </c>
    </row>
    <row r="25" spans="3:7" ht="18.75">
      <c r="C25" s="13" t="s">
        <v>29</v>
      </c>
      <c r="D25" s="16" t="s">
        <v>115</v>
      </c>
      <c r="E25" s="13">
        <f>10/340</f>
        <v>0.029411764705882353</v>
      </c>
      <c r="G25" s="13" t="s">
        <v>30</v>
      </c>
    </row>
    <row r="26" spans="3:12" ht="18.75">
      <c r="C26" s="13" t="s">
        <v>31</v>
      </c>
      <c r="D26" s="16" t="s">
        <v>116</v>
      </c>
      <c r="E26" s="13">
        <f>10/319</f>
        <v>0.03134796238244514</v>
      </c>
      <c r="I26" s="13" t="s">
        <v>6</v>
      </c>
      <c r="J26" s="16"/>
      <c r="K26" s="16"/>
      <c r="L26" s="16"/>
    </row>
    <row r="27" spans="4:12" ht="18.75">
      <c r="D27" s="16"/>
      <c r="J27" s="16"/>
      <c r="K27" s="16"/>
      <c r="L27" s="16"/>
    </row>
    <row r="28" spans="4:12" ht="18.75">
      <c r="D28" s="16"/>
      <c r="G28" s="13" t="s">
        <v>6</v>
      </c>
      <c r="J28" s="16"/>
      <c r="K28" s="16"/>
      <c r="L28" s="16"/>
    </row>
    <row r="29" spans="4:12" ht="18.75">
      <c r="D29" s="16"/>
      <c r="J29" s="16"/>
      <c r="K29" s="16"/>
      <c r="L29" s="16"/>
    </row>
    <row r="30" ht="18.75">
      <c r="D30" s="16"/>
    </row>
    <row r="31" ht="18.75">
      <c r="B31" s="14" t="s">
        <v>32</v>
      </c>
    </row>
    <row r="32" spans="3:7" ht="18.75">
      <c r="C32" s="13" t="s">
        <v>33</v>
      </c>
      <c r="D32" s="18" t="s">
        <v>117</v>
      </c>
      <c r="E32" s="13">
        <f>5.5*10/261</f>
        <v>0.210727969348659</v>
      </c>
      <c r="F32" s="17">
        <v>0.22</v>
      </c>
      <c r="G32" s="13" t="s">
        <v>46</v>
      </c>
    </row>
    <row r="36" spans="2:6" ht="18.75">
      <c r="B36" s="14" t="s">
        <v>38</v>
      </c>
      <c r="D36" s="30" t="s">
        <v>39</v>
      </c>
      <c r="E36" s="30"/>
      <c r="F36" s="30"/>
    </row>
    <row r="37" spans="4:6" ht="18.75">
      <c r="D37" s="15" t="s">
        <v>40</v>
      </c>
      <c r="F37" s="15" t="s">
        <v>41</v>
      </c>
    </row>
    <row r="38" spans="4:6" ht="18.75">
      <c r="D38" s="13" t="s">
        <v>42</v>
      </c>
      <c r="F38" s="17" t="s">
        <v>43</v>
      </c>
    </row>
    <row r="39" spans="4:6" ht="18.75">
      <c r="D39" s="13">
        <f>1.5*E18</f>
        <v>511.161</v>
      </c>
      <c r="F39" s="17">
        <f>2*11/E16</f>
        <v>0.081887888036924</v>
      </c>
    </row>
  </sheetData>
  <mergeCells count="1">
    <mergeCell ref="D36:F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J47" sqref="J47"/>
    </sheetView>
  </sheetViews>
  <sheetFormatPr defaultColWidth="9.00390625" defaultRowHeight="14.25"/>
  <cols>
    <col min="4" max="4" width="11.75390625" style="0" customWidth="1"/>
    <col min="6" max="6" width="9.00390625" style="1" customWidth="1"/>
    <col min="7" max="7" width="9.50390625" style="0" bestFit="1" customWidth="1"/>
  </cols>
  <sheetData>
    <row r="1" spans="1:5" ht="14.25">
      <c r="A1" s="1" t="s">
        <v>77</v>
      </c>
      <c r="B1" s="1" t="s">
        <v>78</v>
      </c>
      <c r="C1" s="1" t="s">
        <v>74</v>
      </c>
      <c r="D1" s="1" t="s">
        <v>82</v>
      </c>
      <c r="E1" s="1" t="s">
        <v>83</v>
      </c>
    </row>
    <row r="2" spans="1:5" ht="14.25">
      <c r="A2" s="26">
        <f>1.414*260</f>
        <v>367.64</v>
      </c>
      <c r="B2" s="1">
        <f>1.414*190</f>
        <v>268.65999999999997</v>
      </c>
      <c r="C2" s="1">
        <f>60*10^3</f>
        <v>60000</v>
      </c>
      <c r="D2" s="1">
        <v>10</v>
      </c>
      <c r="E2" s="1">
        <v>0.8</v>
      </c>
    </row>
    <row r="3" spans="1:5" ht="14.25">
      <c r="A3" s="24"/>
      <c r="B3" s="1"/>
      <c r="C3" s="1"/>
      <c r="D3" s="1"/>
      <c r="E3" s="1"/>
    </row>
    <row r="4" spans="1:16" ht="14.25">
      <c r="A4" t="s">
        <v>58</v>
      </c>
      <c r="J4" s="33"/>
      <c r="K4" s="33" t="s">
        <v>95</v>
      </c>
      <c r="L4" s="33" t="s">
        <v>53</v>
      </c>
      <c r="M4" s="34" t="s">
        <v>51</v>
      </c>
      <c r="N4" s="34" t="s">
        <v>52</v>
      </c>
      <c r="O4" s="33" t="s">
        <v>56</v>
      </c>
      <c r="P4" s="33" t="s">
        <v>94</v>
      </c>
    </row>
    <row r="5" spans="2:16" ht="18.75">
      <c r="B5" s="22" t="s">
        <v>60</v>
      </c>
      <c r="C5" t="s">
        <v>59</v>
      </c>
      <c r="F5" s="1" t="s">
        <v>5</v>
      </c>
      <c r="G5">
        <f>730-340-150</f>
        <v>240</v>
      </c>
      <c r="J5" s="33" t="s">
        <v>55</v>
      </c>
      <c r="K5" s="33">
        <f>M5*P5</f>
        <v>0.101304</v>
      </c>
      <c r="L5" s="33">
        <f>M5*N5</f>
        <v>1.50415</v>
      </c>
      <c r="M5" s="34">
        <f>33.5/100</f>
        <v>0.335</v>
      </c>
      <c r="N5" s="34">
        <f>44.9/10</f>
        <v>4.49</v>
      </c>
      <c r="O5" s="33">
        <v>0.3024</v>
      </c>
      <c r="P5" s="33">
        <f>30.24/100</f>
        <v>0.3024</v>
      </c>
    </row>
    <row r="7" ht="14.25">
      <c r="A7" t="s">
        <v>61</v>
      </c>
    </row>
    <row r="8" spans="1:7" ht="18.75">
      <c r="A8" t="s">
        <v>65</v>
      </c>
      <c r="B8" t="s">
        <v>62</v>
      </c>
      <c r="C8" t="s">
        <v>63</v>
      </c>
      <c r="F8" s="1" t="s">
        <v>64</v>
      </c>
      <c r="G8" s="23" t="s">
        <v>66</v>
      </c>
    </row>
    <row r="9" spans="1:7" ht="18.75">
      <c r="A9" t="s">
        <v>118</v>
      </c>
      <c r="B9" t="s">
        <v>62</v>
      </c>
      <c r="C9" t="s">
        <v>63</v>
      </c>
      <c r="F9" s="1" t="s">
        <v>64</v>
      </c>
      <c r="G9" s="23" t="s">
        <v>66</v>
      </c>
    </row>
    <row r="12" ht="14.25">
      <c r="A12" t="s">
        <v>72</v>
      </c>
    </row>
    <row r="13" ht="18.75">
      <c r="B13" t="s">
        <v>73</v>
      </c>
    </row>
    <row r="14" spans="2:13" ht="14.25">
      <c r="B14" t="s">
        <v>79</v>
      </c>
      <c r="E14" s="20"/>
      <c r="F14" s="1" t="s">
        <v>64</v>
      </c>
      <c r="G14" s="28">
        <f>G5/(B2+G5)</f>
        <v>0.4718279400778516</v>
      </c>
      <c r="H14" s="20"/>
      <c r="I14" s="20"/>
      <c r="J14" s="20"/>
      <c r="K14" s="20"/>
      <c r="L14" s="20"/>
      <c r="M14" s="20"/>
    </row>
    <row r="15" spans="5:13" ht="14.25">
      <c r="E15" s="20"/>
      <c r="F15" s="20"/>
      <c r="G15" s="20"/>
      <c r="H15" s="20"/>
      <c r="I15" s="20"/>
      <c r="J15" s="20"/>
      <c r="K15" s="25"/>
      <c r="L15" s="20"/>
      <c r="M15" s="20"/>
    </row>
    <row r="16" spans="1:11" ht="15.75" customHeight="1">
      <c r="A16" t="s">
        <v>81</v>
      </c>
      <c r="B16" t="s">
        <v>76</v>
      </c>
      <c r="K16" s="25"/>
    </row>
    <row r="17" ht="14.25">
      <c r="K17" s="25"/>
    </row>
    <row r="18" spans="2:9" ht="18.75">
      <c r="B18" s="22" t="s">
        <v>119</v>
      </c>
      <c r="C18" s="31" t="s">
        <v>120</v>
      </c>
      <c r="D18" s="31"/>
      <c r="F18" s="31" t="s">
        <v>47</v>
      </c>
      <c r="G18" s="1">
        <f>2*D2/E2</f>
        <v>25</v>
      </c>
      <c r="H18" s="31" t="s">
        <v>5</v>
      </c>
      <c r="I18" s="31">
        <f>G18/G19</f>
        <v>0.04930527122261099</v>
      </c>
    </row>
    <row r="19" spans="3:9" ht="14.25">
      <c r="C19" s="31" t="s">
        <v>121</v>
      </c>
      <c r="D19" s="31"/>
      <c r="F19" s="31"/>
      <c r="G19" s="29">
        <f>4*G14*B2</f>
        <v>507.0451775252624</v>
      </c>
      <c r="H19" s="31"/>
      <c r="I19" s="31"/>
    </row>
    <row r="21" spans="7:9" ht="14.25">
      <c r="G21" s="27"/>
      <c r="H21" s="1"/>
      <c r="I21" s="1"/>
    </row>
    <row r="22" ht="14.25">
      <c r="A22" t="s">
        <v>67</v>
      </c>
    </row>
    <row r="23" spans="2:3" ht="14.25">
      <c r="B23" t="s">
        <v>68</v>
      </c>
      <c r="C23" t="s">
        <v>69</v>
      </c>
    </row>
    <row r="25" spans="2:12" ht="14.25">
      <c r="B25" t="s">
        <v>68</v>
      </c>
      <c r="C25" t="s">
        <v>80</v>
      </c>
      <c r="F25" s="1" t="s">
        <v>5</v>
      </c>
      <c r="G25">
        <f>(G14*B2)/(C2*2*I18)</f>
        <v>0.021424567670968737</v>
      </c>
      <c r="H25" s="1" t="s">
        <v>75</v>
      </c>
      <c r="I25">
        <f>G25*10^3</f>
        <v>21.424567670968738</v>
      </c>
      <c r="J25" s="1" t="s">
        <v>45</v>
      </c>
      <c r="K25">
        <f>G25*10^6</f>
        <v>21424.567670968736</v>
      </c>
      <c r="L25" s="1" t="s">
        <v>50</v>
      </c>
    </row>
    <row r="27" spans="8:12" ht="14.25">
      <c r="H27" s="1"/>
      <c r="J27" s="1"/>
      <c r="L27" s="1"/>
    </row>
    <row r="28" ht="18.75">
      <c r="A28" t="s">
        <v>108</v>
      </c>
    </row>
    <row r="30" spans="2:9" ht="18.75">
      <c r="B30" s="22" t="s">
        <v>97</v>
      </c>
      <c r="I30" s="22" t="s">
        <v>84</v>
      </c>
    </row>
    <row r="31" ht="14.25">
      <c r="I31" t="s">
        <v>85</v>
      </c>
    </row>
    <row r="32" ht="14.25">
      <c r="I32" t="s">
        <v>86</v>
      </c>
    </row>
    <row r="33" ht="14.25">
      <c r="I33" t="s">
        <v>91</v>
      </c>
    </row>
    <row r="34" ht="14.25">
      <c r="I34" t="s">
        <v>93</v>
      </c>
    </row>
    <row r="35" ht="14.25">
      <c r="I35" t="s">
        <v>92</v>
      </c>
    </row>
    <row r="36" spans="2:9" ht="17.25" customHeight="1">
      <c r="B36" t="s">
        <v>96</v>
      </c>
      <c r="I36" t="s">
        <v>87</v>
      </c>
    </row>
    <row r="38" spans="2:13" ht="15" thickBot="1">
      <c r="B38" t="s">
        <v>90</v>
      </c>
      <c r="F38" s="31" t="s">
        <v>88</v>
      </c>
      <c r="G38" s="32" t="s">
        <v>109</v>
      </c>
      <c r="H38" s="32"/>
      <c r="I38" s="31" t="s">
        <v>47</v>
      </c>
      <c r="J38">
        <f>G25*(3*I18)^2*10^4</f>
        <v>4.6875</v>
      </c>
      <c r="K38" s="31" t="s">
        <v>110</v>
      </c>
      <c r="L38" s="31" t="s">
        <v>44</v>
      </c>
      <c r="M38" s="31">
        <f>(J38/J39)^1.14</f>
        <v>0.1025328881053129</v>
      </c>
    </row>
    <row r="39" spans="6:13" ht="14.25">
      <c r="F39" s="31"/>
      <c r="G39" s="31" t="s">
        <v>89</v>
      </c>
      <c r="H39" s="31"/>
      <c r="I39" s="31"/>
      <c r="J39">
        <f>0.25*0.35*395</f>
        <v>34.5625</v>
      </c>
      <c r="K39" s="31"/>
      <c r="L39" s="31"/>
      <c r="M39" s="31"/>
    </row>
    <row r="43" ht="14.25">
      <c r="A43" t="s">
        <v>98</v>
      </c>
    </row>
    <row r="45" spans="2:10" ht="18.75" customHeight="1" thickBot="1">
      <c r="B45" s="31" t="s">
        <v>99</v>
      </c>
      <c r="C45" s="32" t="s">
        <v>100</v>
      </c>
      <c r="D45" s="32"/>
      <c r="F45" s="31" t="s">
        <v>88</v>
      </c>
      <c r="G45">
        <f>G25*3*I18*10^4</f>
        <v>31.690323595328906</v>
      </c>
      <c r="H45" s="31" t="s">
        <v>47</v>
      </c>
      <c r="I45" s="31">
        <f>G45/G46</f>
        <v>378.3919235263153</v>
      </c>
      <c r="J45" s="31" t="s">
        <v>123</v>
      </c>
    </row>
    <row r="46" spans="2:10" ht="14.25">
      <c r="B46" s="31"/>
      <c r="C46" s="31" t="s">
        <v>101</v>
      </c>
      <c r="D46" s="31"/>
      <c r="F46" s="31"/>
      <c r="G46">
        <f>0.25*M5</f>
        <v>0.08375</v>
      </c>
      <c r="H46" s="31"/>
      <c r="I46" s="31"/>
      <c r="J46" s="31"/>
    </row>
    <row r="49" spans="2:7" ht="14.25">
      <c r="B49" t="s">
        <v>103</v>
      </c>
      <c r="C49" t="s">
        <v>102</v>
      </c>
      <c r="D49" s="23"/>
      <c r="F49" s="1" t="s">
        <v>44</v>
      </c>
      <c r="G49">
        <f>379/15</f>
        <v>25.266666666666666</v>
      </c>
    </row>
    <row r="51" spans="2:7" ht="14.25">
      <c r="B51" t="s">
        <v>122</v>
      </c>
      <c r="C51" t="s">
        <v>102</v>
      </c>
      <c r="D51" s="23"/>
      <c r="F51" s="1" t="s">
        <v>44</v>
      </c>
      <c r="G51">
        <f>379/15</f>
        <v>25.266666666666666</v>
      </c>
    </row>
    <row r="54" ht="14.25">
      <c r="A54" t="s">
        <v>107</v>
      </c>
    </row>
    <row r="56" spans="2:12" ht="15" thickBot="1">
      <c r="B56" s="31" t="s">
        <v>70</v>
      </c>
      <c r="C56" s="32" t="s">
        <v>104</v>
      </c>
      <c r="D56" s="32"/>
      <c r="E56" s="32"/>
      <c r="F56" s="31" t="s">
        <v>5</v>
      </c>
      <c r="G56">
        <f>0.4*3.14*I45^2*M5*10^(-8)</f>
        <v>0.000602446052120972</v>
      </c>
      <c r="H56" s="31" t="s">
        <v>5</v>
      </c>
      <c r="I56" s="31">
        <f>G56/G57</f>
        <v>0.02811940298507464</v>
      </c>
      <c r="J56" s="31" t="s">
        <v>105</v>
      </c>
      <c r="K56" s="31">
        <f>I56*10</f>
        <v>0.28119402985074643</v>
      </c>
      <c r="L56" s="31" t="s">
        <v>106</v>
      </c>
    </row>
    <row r="57" spans="2:12" ht="14.25">
      <c r="B57" s="31"/>
      <c r="C57" s="31" t="s">
        <v>71</v>
      </c>
      <c r="D57" s="31"/>
      <c r="E57" s="31"/>
      <c r="F57" s="31"/>
      <c r="G57">
        <f>G25</f>
        <v>0.021424567670968737</v>
      </c>
      <c r="H57" s="31"/>
      <c r="I57" s="31"/>
      <c r="J57" s="31"/>
      <c r="K57" s="31"/>
      <c r="L57" s="31"/>
    </row>
    <row r="60" ht="14.25">
      <c r="B60" s="22" t="s">
        <v>6</v>
      </c>
    </row>
  </sheetData>
  <mergeCells count="28">
    <mergeCell ref="J45:J46"/>
    <mergeCell ref="I18:I19"/>
    <mergeCell ref="B45:B46"/>
    <mergeCell ref="C45:D45"/>
    <mergeCell ref="C46:D46"/>
    <mergeCell ref="F38:F39"/>
    <mergeCell ref="I38:I39"/>
    <mergeCell ref="G39:H39"/>
    <mergeCell ref="G38:H38"/>
    <mergeCell ref="F45:F46"/>
    <mergeCell ref="H45:H46"/>
    <mergeCell ref="B56:B57"/>
    <mergeCell ref="F56:F57"/>
    <mergeCell ref="F18:F19"/>
    <mergeCell ref="H18:H19"/>
    <mergeCell ref="H56:H57"/>
    <mergeCell ref="C18:D18"/>
    <mergeCell ref="C19:D19"/>
    <mergeCell ref="M38:M39"/>
    <mergeCell ref="K38:K39"/>
    <mergeCell ref="C56:E56"/>
    <mergeCell ref="C57:E57"/>
    <mergeCell ref="I45:I46"/>
    <mergeCell ref="L38:L39"/>
    <mergeCell ref="L56:L57"/>
    <mergeCell ref="I56:I57"/>
    <mergeCell ref="J56:J57"/>
    <mergeCell ref="K56:K5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</dc:creator>
  <cp:keywords/>
  <dc:description/>
  <cp:lastModifiedBy>A </cp:lastModifiedBy>
  <dcterms:created xsi:type="dcterms:W3CDTF">2009-05-07T08:59:01Z</dcterms:created>
  <dcterms:modified xsi:type="dcterms:W3CDTF">2010-07-21T12:31:00Z</dcterms:modified>
  <cp:category/>
  <cp:version/>
  <cp:contentType/>
  <cp:contentStatus/>
</cp:coreProperties>
</file>