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3" i="1"/>
  <c r="C25" s="1"/>
  <c r="C27" s="1"/>
  <c r="C18"/>
  <c r="C24" s="1"/>
  <c r="C26" s="1"/>
  <c r="C17"/>
  <c r="C30" s="1"/>
  <c r="C31" l="1"/>
  <c r="C19"/>
  <c r="C32" l="1"/>
  <c r="C33" s="1"/>
  <c r="C20"/>
  <c r="C21" s="1"/>
  <c r="C35" l="1"/>
  <c r="C37" s="1"/>
  <c r="C38" s="1"/>
  <c r="C36"/>
  <c r="C34"/>
  <c r="C28"/>
</calcChain>
</file>

<file path=xl/sharedStrings.xml><?xml version="1.0" encoding="utf-8"?>
<sst xmlns="http://schemas.openxmlformats.org/spreadsheetml/2006/main" count="85" uniqueCount="72">
  <si>
    <t>Input data</t>
  </si>
  <si>
    <t>Max load</t>
  </si>
  <si>
    <t>Vin max</t>
  </si>
  <si>
    <t>Vdc</t>
  </si>
  <si>
    <t>264*1.414</t>
    <phoneticPr fontId="5" type="noConversion"/>
  </si>
  <si>
    <t>Vin min</t>
  </si>
  <si>
    <t>Bulk cap valley voltage</t>
  </si>
  <si>
    <t>Vo</t>
  </si>
  <si>
    <t>V</t>
  </si>
  <si>
    <t>Io max</t>
  </si>
  <si>
    <t>A</t>
  </si>
  <si>
    <t>Io min at Vin min</t>
  </si>
  <si>
    <t>Continuous mode for Io&gt;Iomin</t>
  </si>
  <si>
    <t>Vd (diode)</t>
  </si>
  <si>
    <t>Output rectifier drop</t>
  </si>
  <si>
    <t>Freq</t>
  </si>
  <si>
    <t>MHz</t>
  </si>
  <si>
    <t>On time duty at Vin min</t>
  </si>
  <si>
    <t>Dead time duty at Vin min</t>
  </si>
  <si>
    <t>=0 for continuous mode</t>
  </si>
  <si>
    <t>Efficiency</t>
  </si>
  <si>
    <t xml:space="preserve">Ae   </t>
  </si>
  <si>
    <t>sq.mm</t>
  </si>
  <si>
    <t>EE22,RM8</t>
    <phoneticPr fontId="5" type="noConversion"/>
  </si>
  <si>
    <t xml:space="preserve">Gap  </t>
  </si>
  <si>
    <t>mm</t>
  </si>
  <si>
    <r>
      <rPr>
        <sz val="12"/>
        <rFont val="宋体"/>
        <family val="3"/>
        <charset val="134"/>
      </rPr>
      <t>中心柱直径的</t>
    </r>
    <r>
      <rPr>
        <sz val="11"/>
        <color theme="1"/>
        <rFont val="宋体"/>
        <family val="2"/>
        <scheme val="minor"/>
      </rPr>
      <t>1/10~1/5</t>
    </r>
    <phoneticPr fontId="5" type="noConversion"/>
  </si>
  <si>
    <t>Trf Calculation</t>
  </si>
  <si>
    <t>n (Np/Ns)</t>
  </si>
  <si>
    <t>Vinmin*Don/(Vo+Vd)/(1-Don-Ddead)</t>
  </si>
  <si>
    <t>del Ip</t>
  </si>
  <si>
    <t>2*Vo*Iomin/Vinmin/Don/Eff</t>
    <phoneticPr fontId="5" type="noConversion"/>
  </si>
  <si>
    <t>L</t>
  </si>
  <si>
    <t>uH</t>
  </si>
  <si>
    <t>Vinmin*Don/Freq/delImax</t>
  </si>
  <si>
    <t>Np</t>
  </si>
  <si>
    <t>sqrt{L*Gap/4/@pi/0.0001/Ae}</t>
  </si>
  <si>
    <t>Ns</t>
  </si>
  <si>
    <t>Np/n</t>
  </si>
  <si>
    <t>del Is</t>
  </si>
  <si>
    <t>2*Iomin/(1-Don-Ddead)</t>
  </si>
  <si>
    <t>Ip peak</t>
  </si>
  <si>
    <t>Vo*Iomax/Vinmin/Don/eff+delIp/2</t>
  </si>
  <si>
    <t>Is peak</t>
  </si>
  <si>
    <t>Iomax/(1-Don-Dead)+delIs/2</t>
  </si>
  <si>
    <t>Ip</t>
  </si>
  <si>
    <t>Arms</t>
  </si>
  <si>
    <t>sqrt{(Ippk^2+(Ippk-delIp)^2+Ippk*(Ippk-delIp))*Don/3}</t>
  </si>
  <si>
    <t>Is</t>
  </si>
  <si>
    <t>sqrt{(Ispk^2+(Ispk-delIs)^2+Ispk*(Ispk-delIs))*(1-Don-Dead)/3}</t>
  </si>
  <si>
    <t>Bmax</t>
  </si>
  <si>
    <t>T</t>
  </si>
  <si>
    <t>L*Ippk/Np/Ae</t>
  </si>
  <si>
    <t>Parameter at Vin max</t>
  </si>
  <si>
    <t>Don1 if continuous mode</t>
  </si>
  <si>
    <t>n*(Vo+Vd)/(Vinmax+n*(Vo+Vd))</t>
  </si>
  <si>
    <t>del Ip1 if continuous mode</t>
  </si>
  <si>
    <t>Vinmax*Don1/f/L</t>
  </si>
  <si>
    <t>del Ip1 if discontinuous mode</t>
  </si>
  <si>
    <t>sqrt(2*Vo*Iomax/(Eff*L*f)) [From energy transfer equation]</t>
  </si>
  <si>
    <t>Continuous mode</t>
  </si>
  <si>
    <t>Ip1 (Ip peak)</t>
  </si>
  <si>
    <t>(del Ip1) if discontinous, (Vo*Iomax/Vinmax/Don1/eff+delIp1/2) if continuous</t>
    <phoneticPr fontId="5" type="noConversion"/>
  </si>
  <si>
    <t>Ton1</t>
  </si>
  <si>
    <t>usec</t>
  </si>
  <si>
    <t>(L*delIp1/Vinmax) if discontinuous, Don1/f if continuous</t>
  </si>
  <si>
    <t>Toff1</t>
  </si>
  <si>
    <t>(L*delIp1/((Vo+Vd)*n)) if discontinuous, (1/f-Ton1) if continuous</t>
  </si>
  <si>
    <t>Dead time</t>
  </si>
  <si>
    <t>1/f-Ton1-Toff1</t>
  </si>
  <si>
    <t>Dead time duty</t>
  </si>
  <si>
    <t>(Dead time)*f</t>
  </si>
</sst>
</file>

<file path=xl/styles.xml><?xml version="1.0" encoding="utf-8"?>
<styleSheet xmlns="http://schemas.openxmlformats.org/spreadsheetml/2006/main">
  <numFmts count="1">
    <numFmt numFmtId="176" formatCode="0.000"/>
  </numFmts>
  <fonts count="8">
    <font>
      <sz val="11"/>
      <color theme="1"/>
      <name val="宋体"/>
      <family val="2"/>
      <scheme val="minor"/>
    </font>
    <font>
      <b/>
      <sz val="12"/>
      <name val="Times New Roman"/>
      <family val="1"/>
    </font>
    <font>
      <sz val="9"/>
      <name val="宋体"/>
      <family val="3"/>
      <charset val="134"/>
      <scheme val="minor"/>
    </font>
    <font>
      <sz val="12"/>
      <name val="Times New Roman"/>
      <family val="1"/>
    </font>
    <font>
      <sz val="12"/>
      <color indexed="12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3" fillId="0" borderId="0" xfId="0" applyFont="1" applyFill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</xf>
    <xf numFmtId="0" fontId="4" fillId="0" borderId="0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left"/>
    </xf>
    <xf numFmtId="2" fontId="6" fillId="0" borderId="0" xfId="0" applyNumberFormat="1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/>
    </xf>
    <xf numFmtId="0" fontId="6" fillId="0" borderId="0" xfId="0" applyFont="1" applyBorder="1" applyAlignment="1" applyProtection="1">
      <alignment vertical="top" wrapText="1"/>
      <protection locked="0"/>
    </xf>
    <xf numFmtId="0" fontId="3" fillId="0" borderId="0" xfId="0" quotePrefix="1" applyFont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left"/>
    </xf>
    <xf numFmtId="0" fontId="3" fillId="0" borderId="0" xfId="0" applyFont="1" applyFill="1" applyBorder="1" applyAlignment="1" applyProtection="1">
      <alignment vertical="top" wrapText="1"/>
    </xf>
    <xf numFmtId="2" fontId="3" fillId="0" borderId="0" xfId="0" applyNumberFormat="1" applyFont="1" applyFill="1" applyBorder="1" applyAlignment="1" applyProtection="1">
      <alignment vertical="top" wrapText="1"/>
    </xf>
    <xf numFmtId="176" fontId="3" fillId="0" borderId="0" xfId="0" applyNumberFormat="1" applyFont="1" applyFill="1" applyBorder="1" applyAlignment="1" applyProtection="1">
      <alignment vertical="top" wrapText="1"/>
    </xf>
    <xf numFmtId="2" fontId="3" fillId="0" borderId="0" xfId="0" applyNumberFormat="1" applyFont="1" applyFill="1" applyAlignment="1" applyProtection="1">
      <alignment vertical="top" wrapText="1"/>
    </xf>
    <xf numFmtId="2" fontId="3" fillId="0" borderId="0" xfId="0" applyNumberFormat="1" applyFont="1" applyFill="1" applyBorder="1" applyAlignment="1" applyProtection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workbookViewId="0">
      <selection activeCell="A2" sqref="A2:D38"/>
    </sheetView>
  </sheetViews>
  <sheetFormatPr defaultRowHeight="13.5"/>
  <cols>
    <col min="1" max="1" width="25.125" bestFit="1" customWidth="1"/>
    <col min="2" max="2" width="6.5" bestFit="1" customWidth="1"/>
    <col min="3" max="3" width="8.75" bestFit="1" customWidth="1"/>
    <col min="4" max="4" width="65.875" bestFit="1" customWidth="1"/>
  </cols>
  <sheetData>
    <row r="2" spans="1:4" ht="31.5">
      <c r="A2" s="1" t="s">
        <v>0</v>
      </c>
      <c r="B2" s="2"/>
      <c r="C2" s="3" t="s">
        <v>1</v>
      </c>
      <c r="D2" s="2"/>
    </row>
    <row r="3" spans="1:4" ht="27">
      <c r="A3" s="4" t="s">
        <v>2</v>
      </c>
      <c r="B3" s="4" t="s">
        <v>3</v>
      </c>
      <c r="C3" s="5">
        <v>375</v>
      </c>
      <c r="D3" s="6" t="s">
        <v>4</v>
      </c>
    </row>
    <row r="4" spans="1:4" ht="47.25">
      <c r="A4" s="4" t="s">
        <v>5</v>
      </c>
      <c r="B4" s="2" t="s">
        <v>3</v>
      </c>
      <c r="C4" s="7">
        <v>90</v>
      </c>
      <c r="D4" s="2" t="s">
        <v>6</v>
      </c>
    </row>
    <row r="5" spans="1:4" ht="15.75">
      <c r="A5" s="4" t="s">
        <v>7</v>
      </c>
      <c r="B5" s="4" t="s">
        <v>8</v>
      </c>
      <c r="C5" s="7">
        <v>5</v>
      </c>
      <c r="D5" s="2"/>
    </row>
    <row r="6" spans="1:4" ht="15.75">
      <c r="A6" s="4" t="s">
        <v>9</v>
      </c>
      <c r="B6" s="4" t="s">
        <v>10</v>
      </c>
      <c r="C6" s="7">
        <v>8</v>
      </c>
      <c r="D6" s="2"/>
    </row>
    <row r="7" spans="1:4" ht="47.25">
      <c r="A7" s="8" t="s">
        <v>11</v>
      </c>
      <c r="B7" s="8" t="s">
        <v>10</v>
      </c>
      <c r="C7" s="9">
        <v>8</v>
      </c>
      <c r="D7" s="10" t="s">
        <v>12</v>
      </c>
    </row>
    <row r="8" spans="1:4" ht="47.25">
      <c r="A8" s="4" t="s">
        <v>13</v>
      </c>
      <c r="B8" s="4" t="s">
        <v>8</v>
      </c>
      <c r="C8" s="7">
        <v>0.5</v>
      </c>
      <c r="D8" s="2" t="s">
        <v>14</v>
      </c>
    </row>
    <row r="9" spans="1:4" ht="15.75">
      <c r="A9" s="4" t="s">
        <v>15</v>
      </c>
      <c r="B9" s="4" t="s">
        <v>16</v>
      </c>
      <c r="C9" s="7">
        <v>0.05</v>
      </c>
      <c r="D9" s="2"/>
    </row>
    <row r="10" spans="1:4" ht="15.75">
      <c r="A10" s="8" t="s">
        <v>17</v>
      </c>
      <c r="B10" s="10"/>
      <c r="C10" s="11">
        <v>0.45</v>
      </c>
      <c r="D10" s="10"/>
    </row>
    <row r="11" spans="1:4" ht="47.25">
      <c r="A11" s="4" t="s">
        <v>18</v>
      </c>
      <c r="B11" s="2"/>
      <c r="C11" s="7">
        <v>0.01</v>
      </c>
      <c r="D11" s="12" t="s">
        <v>19</v>
      </c>
    </row>
    <row r="12" spans="1:4" ht="15.75">
      <c r="A12" s="4" t="s">
        <v>20</v>
      </c>
      <c r="B12" s="2"/>
      <c r="C12" s="7">
        <v>0.85</v>
      </c>
      <c r="D12" s="2"/>
    </row>
    <row r="13" spans="1:4" ht="15.75">
      <c r="A13" s="4"/>
      <c r="B13" s="2"/>
      <c r="C13" s="7"/>
      <c r="D13" s="2"/>
    </row>
    <row r="14" spans="1:4" ht="31.5">
      <c r="A14" s="4" t="s">
        <v>21</v>
      </c>
      <c r="B14" s="4" t="s">
        <v>22</v>
      </c>
      <c r="C14" s="7">
        <v>41</v>
      </c>
      <c r="D14" s="13" t="s">
        <v>23</v>
      </c>
    </row>
    <row r="15" spans="1:4" ht="42">
      <c r="A15" s="4" t="s">
        <v>24</v>
      </c>
      <c r="B15" s="4" t="s">
        <v>25</v>
      </c>
      <c r="C15" s="5">
        <v>0.2</v>
      </c>
      <c r="D15" s="6" t="s">
        <v>26</v>
      </c>
    </row>
    <row r="16" spans="1:4" ht="15.75">
      <c r="A16" s="14" t="s">
        <v>27</v>
      </c>
      <c r="B16" s="4"/>
      <c r="C16" s="15"/>
      <c r="D16" s="2"/>
    </row>
    <row r="17" spans="1:4" ht="15.75">
      <c r="A17" s="4" t="s">
        <v>28</v>
      </c>
      <c r="B17" s="2"/>
      <c r="C17" s="16">
        <f>C4*C10/(C5+C8)/(1-C10-C11)</f>
        <v>13.636363636363635</v>
      </c>
      <c r="D17" s="8" t="s">
        <v>29</v>
      </c>
    </row>
    <row r="18" spans="1:4" ht="15.75">
      <c r="A18" s="4" t="s">
        <v>30</v>
      </c>
      <c r="B18" s="2" t="s">
        <v>10</v>
      </c>
      <c r="C18" s="16">
        <f>2*C5*C7/C4/C10/C12</f>
        <v>2.3238925199709515</v>
      </c>
      <c r="D18" s="8" t="s">
        <v>31</v>
      </c>
    </row>
    <row r="19" spans="1:4" ht="15.75">
      <c r="A19" s="4" t="s">
        <v>32</v>
      </c>
      <c r="B19" s="4" t="s">
        <v>33</v>
      </c>
      <c r="C19" s="16">
        <f>C4*C10/C9/C18</f>
        <v>348.55312499999997</v>
      </c>
      <c r="D19" s="8" t="s">
        <v>34</v>
      </c>
    </row>
    <row r="20" spans="1:4" ht="15.75">
      <c r="A20" s="4" t="s">
        <v>35</v>
      </c>
      <c r="B20" s="2"/>
      <c r="C20" s="16">
        <f>SQRT(C19*C15/4/PI()/0.0001/C14)</f>
        <v>36.783464197751286</v>
      </c>
      <c r="D20" s="8" t="s">
        <v>36</v>
      </c>
    </row>
    <row r="21" spans="1:4" ht="15.75">
      <c r="A21" s="4" t="s">
        <v>37</v>
      </c>
      <c r="B21" s="2"/>
      <c r="C21" s="16">
        <f>C20/C17</f>
        <v>2.6974540411684278</v>
      </c>
      <c r="D21" s="8" t="s">
        <v>38</v>
      </c>
    </row>
    <row r="22" spans="1:4" ht="15.75">
      <c r="A22" s="4"/>
      <c r="B22" s="2"/>
      <c r="C22" s="16"/>
      <c r="D22" s="8"/>
    </row>
    <row r="23" spans="1:4" ht="15.75">
      <c r="A23" s="4" t="s">
        <v>39</v>
      </c>
      <c r="B23" s="2" t="s">
        <v>10</v>
      </c>
      <c r="C23" s="16">
        <f>2*C7/(1-C10-C11)</f>
        <v>29.629629629629626</v>
      </c>
      <c r="D23" s="8" t="s">
        <v>40</v>
      </c>
    </row>
    <row r="24" spans="1:4" ht="15.75">
      <c r="A24" s="4" t="s">
        <v>41</v>
      </c>
      <c r="B24" s="2" t="s">
        <v>10</v>
      </c>
      <c r="C24" s="16">
        <f>C5*C6/C4/C10/C12+C18/2</f>
        <v>2.3238925199709515</v>
      </c>
      <c r="D24" s="8" t="s">
        <v>42</v>
      </c>
    </row>
    <row r="25" spans="1:4" ht="15.75">
      <c r="A25" s="4" t="s">
        <v>43</v>
      </c>
      <c r="B25" s="2" t="s">
        <v>10</v>
      </c>
      <c r="C25" s="16">
        <f>C6/(1-C10-C11)+C23/2</f>
        <v>29.629629629629626</v>
      </c>
      <c r="D25" s="8" t="s">
        <v>44</v>
      </c>
    </row>
    <row r="26" spans="1:4" ht="15.75">
      <c r="A26" s="4" t="s">
        <v>45</v>
      </c>
      <c r="B26" s="2" t="s">
        <v>46</v>
      </c>
      <c r="C26" s="16">
        <f>SQRT((C24^2+(C24-C18)^2+C24*(C24-C18))*C10/3)</f>
        <v>0.90003970282234824</v>
      </c>
      <c r="D26" s="8" t="s">
        <v>47</v>
      </c>
    </row>
    <row r="27" spans="1:4" ht="15.75">
      <c r="A27" s="4" t="s">
        <v>48</v>
      </c>
      <c r="B27" s="2" t="s">
        <v>46</v>
      </c>
      <c r="C27" s="16">
        <f>SQRT((C25^2+(C25-C23)^2+C25*(C25-C23))*(1-C10-C11)/3)</f>
        <v>12.570787221094179</v>
      </c>
      <c r="D27" s="8" t="s">
        <v>49</v>
      </c>
    </row>
    <row r="28" spans="1:4" ht="15.75">
      <c r="A28" s="4" t="s">
        <v>50</v>
      </c>
      <c r="B28" s="4" t="s">
        <v>51</v>
      </c>
      <c r="C28" s="17">
        <f>C19*C24/C20/C14</f>
        <v>0.53709181535390504</v>
      </c>
      <c r="D28" s="8" t="s">
        <v>52</v>
      </c>
    </row>
    <row r="29" spans="1:4" ht="15.75">
      <c r="A29" s="14" t="s">
        <v>53</v>
      </c>
      <c r="B29" s="2"/>
      <c r="C29" s="2"/>
      <c r="D29" s="2"/>
    </row>
    <row r="30" spans="1:4" ht="15.75">
      <c r="A30" s="4" t="s">
        <v>54</v>
      </c>
      <c r="B30" s="2"/>
      <c r="C30" s="18">
        <f>C17*(C5+C8)/(C3+C17*(C5+C8))</f>
        <v>0.16666666666666663</v>
      </c>
      <c r="D30" s="8" t="s">
        <v>55</v>
      </c>
    </row>
    <row r="31" spans="1:4" ht="15.75">
      <c r="A31" s="4" t="s">
        <v>56</v>
      </c>
      <c r="B31" s="2" t="s">
        <v>10</v>
      </c>
      <c r="C31" s="18">
        <f>C3*C30/C9/C19</f>
        <v>3.5862538888440598</v>
      </c>
      <c r="D31" s="8" t="s">
        <v>57</v>
      </c>
    </row>
    <row r="32" spans="1:4" ht="15.75">
      <c r="A32" s="4" t="s">
        <v>58</v>
      </c>
      <c r="B32" s="4" t="s">
        <v>10</v>
      </c>
      <c r="C32" s="16">
        <f>SQRT(2*C5*C6/(C12*C19*C9))</f>
        <v>2.3238925199709515</v>
      </c>
      <c r="D32" s="8" t="s">
        <v>59</v>
      </c>
    </row>
    <row r="33" spans="1:4" ht="15.75">
      <c r="A33" s="4" t="s">
        <v>60</v>
      </c>
      <c r="B33" s="4"/>
      <c r="C33" s="19" t="str">
        <f>IF(C31&lt;C32, "Y", "N")</f>
        <v>N</v>
      </c>
      <c r="D33" s="8"/>
    </row>
    <row r="34" spans="1:4" ht="15.75">
      <c r="A34" s="4" t="s">
        <v>61</v>
      </c>
      <c r="B34" s="4" t="s">
        <v>10</v>
      </c>
      <c r="C34" s="16">
        <f>IF(C33="N",C32,C5*C6/C3/C30/C12+C31/2)</f>
        <v>2.3238925199709515</v>
      </c>
      <c r="D34" s="8" t="s">
        <v>62</v>
      </c>
    </row>
    <row r="35" spans="1:4" ht="15.75">
      <c r="A35" s="4" t="s">
        <v>63</v>
      </c>
      <c r="B35" s="4" t="s">
        <v>64</v>
      </c>
      <c r="C35" s="16">
        <f>IF(C33="N",C19*C32/C3,C30/C9)</f>
        <v>2.16</v>
      </c>
      <c r="D35" s="8" t="s">
        <v>65</v>
      </c>
    </row>
    <row r="36" spans="1:4" ht="15.75">
      <c r="A36" s="4" t="s">
        <v>66</v>
      </c>
      <c r="B36" s="4" t="s">
        <v>64</v>
      </c>
      <c r="C36" s="16">
        <f>IF(C33="N",C19*C32/((C5+C8)*C17),1/C9-C35)</f>
        <v>10.800000000000002</v>
      </c>
      <c r="D36" s="8" t="s">
        <v>67</v>
      </c>
    </row>
    <row r="37" spans="1:4" ht="15.75">
      <c r="A37" s="4" t="s">
        <v>68</v>
      </c>
      <c r="B37" s="4" t="s">
        <v>64</v>
      </c>
      <c r="C37" s="16">
        <f>1/C9-C35-C36</f>
        <v>7.0399999999999974</v>
      </c>
      <c r="D37" s="8" t="s">
        <v>69</v>
      </c>
    </row>
    <row r="38" spans="1:4" ht="15.75">
      <c r="A38" s="4" t="s">
        <v>70</v>
      </c>
      <c r="B38" s="2"/>
      <c r="C38" s="16">
        <f>C37*C9</f>
        <v>0.35199999999999987</v>
      </c>
      <c r="D38" s="8" t="s">
        <v>71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2013-12-05T02:00:30Z</dcterms:modified>
</cp:coreProperties>
</file>