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<sst xmlns="http://schemas.openxmlformats.org/spreadsheetml/2006/main" count="133" uniqueCount="127">
  <si>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输入参数</t>
  </si>
  <si>
    <t>输出参数</t>
  </si>
  <si>
    <t>最小输入电压（V）</t>
  </si>
  <si>
    <t>最大输入电压（V）</t>
  </si>
  <si>
    <t>输出电压（V）</t>
  </si>
  <si>
    <t>输出电流（A）</t>
  </si>
  <si>
    <t>输入电压频率(Hz)</t>
  </si>
  <si>
    <t>PWM频率（kHz）</t>
  </si>
  <si>
    <t>辅助计算参数</t>
  </si>
  <si>
    <t>输出功率(W)</t>
  </si>
  <si>
    <t>输入功率(W)</t>
  </si>
  <si>
    <t>效率（%）最低压时</t>
  </si>
  <si>
    <r>
      <t>(Vdc_min)</t>
    </r>
    <r>
      <rPr>
        <vertAlign val="superscript"/>
        <sz val="12"/>
        <rFont val="宋体"/>
        <family val="0"/>
      </rPr>
      <t>2</t>
    </r>
  </si>
  <si>
    <t>输入电容(uF)</t>
  </si>
  <si>
    <t>Tc(S)</t>
  </si>
  <si>
    <t>AA</t>
  </si>
  <si>
    <t>BB</t>
  </si>
  <si>
    <t>T/2（S）</t>
  </si>
  <si>
    <t>Vdc_min(V)</t>
  </si>
  <si>
    <t>Dmax</t>
  </si>
  <si>
    <t>Ton_max</t>
  </si>
  <si>
    <t>Np_max（初级匝数T）</t>
  </si>
  <si>
    <t>Np_min（初级匝数T）</t>
  </si>
  <si>
    <t>Ns_max对应次级匝数(T)</t>
  </si>
  <si>
    <t>Ns_min对应次级匝数(T)</t>
  </si>
  <si>
    <t>辅助电压Vcc（V）</t>
  </si>
  <si>
    <r>
      <t>另一组次级Vs</t>
    </r>
    <r>
      <rPr>
        <vertAlign val="subscript"/>
        <sz val="12"/>
        <rFont val="宋体"/>
        <family val="0"/>
      </rPr>
      <t>2</t>
    </r>
    <r>
      <rPr>
        <sz val="12"/>
        <rFont val="宋体"/>
        <family val="0"/>
      </rPr>
      <t>（V）</t>
    </r>
  </si>
  <si>
    <t>对应匝数(T)</t>
  </si>
  <si>
    <t>备注</t>
  </si>
  <si>
    <t>变压器体积最小</t>
  </si>
  <si>
    <t>变压器体积最大</t>
  </si>
  <si>
    <t>Lp(mH)</t>
  </si>
  <si>
    <t>Bmax(T)</t>
  </si>
  <si>
    <t>备注</t>
  </si>
  <si>
    <r>
      <t>V</t>
    </r>
    <r>
      <rPr>
        <vertAlign val="subscript"/>
        <sz val="12"/>
        <rFont val="宋体"/>
        <family val="0"/>
      </rPr>
      <t>(BR)VCC</t>
    </r>
    <r>
      <rPr>
        <sz val="12"/>
        <rFont val="宋体"/>
        <family val="0"/>
      </rPr>
      <t>(V)</t>
    </r>
  </si>
  <si>
    <r>
      <t>V</t>
    </r>
    <r>
      <rPr>
        <vertAlign val="subscript"/>
        <sz val="12"/>
        <rFont val="宋体"/>
        <family val="0"/>
      </rPr>
      <t>(BR)S2</t>
    </r>
    <r>
      <rPr>
        <sz val="12"/>
        <rFont val="宋体"/>
        <family val="0"/>
      </rPr>
      <t>(V)</t>
    </r>
  </si>
  <si>
    <t>Vds_max(V)</t>
  </si>
  <si>
    <t>V(BR)S(V)：次级整流管的最高反向峰值电压。</t>
  </si>
  <si>
    <r>
      <t>V</t>
    </r>
    <r>
      <rPr>
        <vertAlign val="subscript"/>
        <sz val="12"/>
        <rFont val="宋体"/>
        <family val="0"/>
      </rPr>
      <t>(BR)S2</t>
    </r>
    <r>
      <rPr>
        <sz val="12"/>
        <rFont val="宋体"/>
        <family val="0"/>
      </rPr>
      <t>(V)：第二组次级整流管的最高反向峰值电压。</t>
    </r>
  </si>
  <si>
    <r>
      <t>V</t>
    </r>
    <r>
      <rPr>
        <vertAlign val="subscript"/>
        <sz val="12"/>
        <rFont val="宋体"/>
        <family val="0"/>
      </rPr>
      <t>(BR)VCC</t>
    </r>
    <r>
      <rPr>
        <sz val="12"/>
        <rFont val="宋体"/>
        <family val="0"/>
      </rPr>
      <t>(V)：反馈电路整流管的最高反向峰值电压。</t>
    </r>
  </si>
  <si>
    <r>
      <t>Ipk_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(A)：原边（初级）电流有效值。</t>
    </r>
  </si>
  <si>
    <r>
      <t>Is_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(A)：副边（次级）电流有效值。</t>
    </r>
  </si>
  <si>
    <t>Vds_max(V)：MOSFET最大峰值电压。</t>
  </si>
  <si>
    <r>
      <t>Ae(mm</t>
    </r>
    <r>
      <rPr>
        <vertAlign val="superscript"/>
        <sz val="12"/>
        <color indexed="12"/>
        <rFont val="宋体"/>
        <family val="0"/>
      </rPr>
      <t>2</t>
    </r>
    <r>
      <rPr>
        <sz val="12"/>
        <color indexed="12"/>
        <rFont val="宋体"/>
        <family val="0"/>
      </rPr>
      <t>)</t>
    </r>
  </si>
  <si>
    <r>
      <t>Ae(mm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)：磁芯有效横截面积。</t>
    </r>
  </si>
  <si>
    <r>
      <t>AL(uH/T</t>
    </r>
    <r>
      <rPr>
        <vertAlign val="superscript"/>
        <sz val="12"/>
        <color indexed="12"/>
        <rFont val="宋体"/>
        <family val="0"/>
      </rPr>
      <t>2</t>
    </r>
    <r>
      <rPr>
        <sz val="12"/>
        <color indexed="12"/>
        <rFont val="宋体"/>
        <family val="0"/>
      </rPr>
      <t>)</t>
    </r>
  </si>
  <si>
    <t>σ(气隙宽度)（mm）</t>
  </si>
  <si>
    <r>
      <t>A</t>
    </r>
    <r>
      <rPr>
        <vertAlign val="subscript"/>
        <sz val="12"/>
        <rFont val="宋体"/>
        <family val="0"/>
      </rPr>
      <t>LG</t>
    </r>
    <r>
      <rPr>
        <sz val="12"/>
        <rFont val="宋体"/>
        <family val="0"/>
      </rPr>
      <t>(气隙电感)（uH/T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</t>
    </r>
  </si>
  <si>
    <r>
      <t>I</t>
    </r>
    <r>
      <rPr>
        <vertAlign val="subscript"/>
        <sz val="12"/>
        <rFont val="宋体"/>
        <family val="0"/>
      </rPr>
      <t>RI</t>
    </r>
    <r>
      <rPr>
        <sz val="12"/>
        <rFont val="宋体"/>
        <family val="0"/>
      </rPr>
      <t>(A):输出滤波电容上的纹波电流</t>
    </r>
  </si>
  <si>
    <t>Dsm(mm):次级裸导线直径</t>
  </si>
  <si>
    <r>
      <t>Dsm</t>
    </r>
    <r>
      <rPr>
        <sz val="12"/>
        <rFont val="宋体"/>
        <family val="0"/>
      </rPr>
      <t>(</t>
    </r>
    <r>
      <rPr>
        <sz val="12"/>
        <rFont val="宋体"/>
        <family val="0"/>
      </rPr>
      <t>mm</t>
    </r>
    <r>
      <rPr>
        <sz val="12"/>
        <rFont val="宋体"/>
        <family val="0"/>
      </rPr>
      <t>)</t>
    </r>
  </si>
  <si>
    <t>Dsm(mm)建议</t>
  </si>
  <si>
    <t>建议输入电容(uF)</t>
  </si>
  <si>
    <t>理论分析：</t>
  </si>
  <si>
    <t>实际验算：</t>
  </si>
  <si>
    <t>输出管压降（V）</t>
  </si>
  <si>
    <t>匝数比_N</t>
  </si>
  <si>
    <t>Ns_set（次级匝数T）</t>
  </si>
  <si>
    <t>Np_set对应初级匝数(T)</t>
  </si>
  <si>
    <t>Np_real初级匝数(T)</t>
  </si>
  <si>
    <t>Ns_real（次级匝数T）</t>
  </si>
  <si>
    <t>Np_best（初级匝数T）</t>
  </si>
  <si>
    <t>输出功率大于30W时</t>
  </si>
  <si>
    <t>实际变压器参数：</t>
  </si>
  <si>
    <t>Np</t>
  </si>
  <si>
    <t>Ns</t>
  </si>
  <si>
    <t>Nvcc</t>
  </si>
  <si>
    <t>Ns2</t>
  </si>
  <si>
    <r>
      <t>V</t>
    </r>
    <r>
      <rPr>
        <vertAlign val="subscript"/>
        <sz val="12"/>
        <color indexed="12"/>
        <rFont val="宋体"/>
        <family val="0"/>
      </rPr>
      <t>RO</t>
    </r>
    <r>
      <rPr>
        <sz val="12"/>
        <color indexed="12"/>
        <rFont val="宋体"/>
        <family val="0"/>
      </rPr>
      <t>(V)反射电压</t>
    </r>
  </si>
  <si>
    <t>Lp(mH)</t>
  </si>
  <si>
    <r>
      <t>V</t>
    </r>
    <r>
      <rPr>
        <vertAlign val="subscript"/>
        <sz val="12"/>
        <rFont val="宋体"/>
        <family val="0"/>
      </rPr>
      <t>RO</t>
    </r>
    <r>
      <rPr>
        <sz val="12"/>
        <rFont val="宋体"/>
        <family val="0"/>
      </rPr>
      <t>(V)反射电压(实际）</t>
    </r>
  </si>
  <si>
    <t>VCC(V)</t>
  </si>
  <si>
    <r>
      <t>V</t>
    </r>
    <r>
      <rPr>
        <sz val="12"/>
        <rFont val="宋体"/>
        <family val="0"/>
      </rPr>
      <t>s2(V)</t>
    </r>
  </si>
  <si>
    <t>Vs(V)</t>
  </si>
  <si>
    <t>Np_best</t>
  </si>
  <si>
    <t>Ns_best对应次级匝数(T)</t>
  </si>
  <si>
    <t>Ns_best</t>
  </si>
  <si>
    <t>Nvcc_best</t>
  </si>
  <si>
    <t>Np_best</t>
  </si>
  <si>
    <t>Ns_best</t>
  </si>
  <si>
    <t>Nvcc_best</t>
  </si>
  <si>
    <t>30W&lt;X&lt;60W</t>
  </si>
  <si>
    <t>X&lt;30W</t>
  </si>
  <si>
    <t>变压器绕法快速选择：</t>
  </si>
  <si>
    <t>60W&lt;X&lt;75W</t>
  </si>
  <si>
    <r>
      <t>若Bmax&gt;0.3T时，变压器温度</t>
    </r>
    <r>
      <rPr>
        <b/>
        <u val="single"/>
        <sz val="12"/>
        <color indexed="10"/>
        <rFont val="宋体"/>
        <family val="0"/>
      </rPr>
      <t>高</t>
    </r>
    <r>
      <rPr>
        <sz val="12"/>
        <rFont val="宋体"/>
        <family val="0"/>
      </rPr>
      <t>，就要增大变压器横截面积或增加初级匝数Np。</t>
    </r>
  </si>
  <si>
    <r>
      <t>若Bmax&lt;0.2T时，变压器温度</t>
    </r>
    <r>
      <rPr>
        <b/>
        <u val="single"/>
        <sz val="12"/>
        <color indexed="10"/>
        <rFont val="宋体"/>
        <family val="0"/>
      </rPr>
      <t>低</t>
    </r>
    <r>
      <rPr>
        <sz val="12"/>
        <rFont val="宋体"/>
        <family val="0"/>
      </rPr>
      <t>，就要减小变压器横截面积或减少初级匝数Np。</t>
    </r>
  </si>
  <si>
    <t>Vdc_min:最小输入电压。（整流滤波后的最低电压,通常不低于76V。）</t>
  </si>
  <si>
    <t>Dmax（实际）</t>
  </si>
  <si>
    <t>Ipk(A)满载</t>
  </si>
  <si>
    <t>Bmax实际(T)</t>
  </si>
  <si>
    <t>Bmax：最大磁通密度。一般取0.2T~0.3T之间。</t>
  </si>
  <si>
    <t>(查表得Bsat=0.39T，当f&lt;100kHz时,Bm=0.4Bsat=0.16T)</t>
  </si>
  <si>
    <r>
      <t>V</t>
    </r>
    <r>
      <rPr>
        <vertAlign val="subscript"/>
        <sz val="12"/>
        <rFont val="宋体"/>
        <family val="0"/>
      </rPr>
      <t>(BR)</t>
    </r>
    <r>
      <rPr>
        <vertAlign val="subscript"/>
        <sz val="12"/>
        <rFont val="宋体"/>
        <family val="0"/>
      </rPr>
      <t>S</t>
    </r>
    <r>
      <rPr>
        <sz val="12"/>
        <rFont val="宋体"/>
        <family val="0"/>
      </rPr>
      <t>(V)</t>
    </r>
  </si>
  <si>
    <t>Vds(V)(无尖峰时）</t>
  </si>
  <si>
    <r>
      <t>V</t>
    </r>
    <r>
      <rPr>
        <b/>
        <vertAlign val="subscript"/>
        <sz val="12"/>
        <color indexed="10"/>
        <rFont val="宋体"/>
        <family val="0"/>
      </rPr>
      <t>(BR)S</t>
    </r>
    <r>
      <rPr>
        <b/>
        <vertAlign val="subscript"/>
        <sz val="12"/>
        <color indexed="10"/>
        <rFont val="宋体"/>
        <family val="0"/>
      </rPr>
      <t>_</t>
    </r>
    <r>
      <rPr>
        <b/>
        <sz val="12"/>
        <color indexed="10"/>
        <rFont val="宋体"/>
        <family val="0"/>
      </rPr>
      <t>max</t>
    </r>
    <r>
      <rPr>
        <b/>
        <sz val="12"/>
        <color indexed="10"/>
        <rFont val="宋体"/>
        <family val="0"/>
      </rPr>
      <t>(V)</t>
    </r>
  </si>
  <si>
    <t>Lp(mH)实际</t>
  </si>
  <si>
    <t>Ipk(A)实际满载</t>
  </si>
  <si>
    <t>Ipk(mA)实际满载</t>
  </si>
  <si>
    <r>
      <t>Ipk_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)实际</t>
    </r>
  </si>
  <si>
    <r>
      <t>Is_</t>
    </r>
    <r>
      <rPr>
        <vertAlign val="subscript"/>
        <sz val="12"/>
        <rFont val="宋体"/>
        <family val="0"/>
      </rPr>
      <t>RMS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)实际</t>
    </r>
  </si>
  <si>
    <r>
      <t>I</t>
    </r>
    <r>
      <rPr>
        <vertAlign val="subscript"/>
        <sz val="12"/>
        <rFont val="宋体"/>
        <family val="0"/>
      </rPr>
      <t>RI</t>
    </r>
    <r>
      <rPr>
        <sz val="12"/>
        <rFont val="宋体"/>
        <family val="0"/>
      </rPr>
      <t>(</t>
    </r>
    <r>
      <rPr>
        <sz val="12"/>
        <rFont val="宋体"/>
        <family val="0"/>
      </rPr>
      <t>A</t>
    </r>
    <r>
      <rPr>
        <sz val="12"/>
        <rFont val="宋体"/>
        <family val="0"/>
      </rPr>
      <t>)实际</t>
    </r>
  </si>
  <si>
    <r>
      <t>K</t>
    </r>
    <r>
      <rPr>
        <sz val="12"/>
        <rFont val="宋体"/>
        <family val="0"/>
      </rPr>
      <t>(CCM系数）</t>
    </r>
  </si>
  <si>
    <r>
      <t>变压器参数计算(</t>
    </r>
    <r>
      <rPr>
        <b/>
        <sz val="22"/>
        <rFont val="宋体"/>
        <family val="0"/>
      </rPr>
      <t>反激)</t>
    </r>
  </si>
  <si>
    <t>当DCM时，K为1</t>
  </si>
  <si>
    <r>
      <rPr>
        <b/>
        <sz val="12"/>
        <rFont val="宋体"/>
        <family val="0"/>
      </rPr>
      <t>备注：</t>
    </r>
    <r>
      <rPr>
        <sz val="12"/>
        <rFont val="宋体"/>
        <family val="0"/>
      </rPr>
      <t xml:space="preserve">                                                                                                  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当f&lt;50kHz时,   Bmax=0.5Bmsat
当f&lt;100kHz时,  Bmax=0.4Bmsat
当f&lt;500kHz时,  Bmax=0.25Bmsat
当f&lt;1MHz时,    Bmax=0.1Bmsat
</t>
    </r>
  </si>
  <si>
    <r>
      <t>V</t>
    </r>
    <r>
      <rPr>
        <vertAlign val="subscript"/>
        <sz val="12"/>
        <rFont val="宋体"/>
        <family val="0"/>
      </rPr>
      <t>RO</t>
    </r>
    <r>
      <rPr>
        <sz val="12"/>
        <rFont val="宋体"/>
        <family val="0"/>
      </rPr>
      <t>(V)在输入低压（110V)时，最好在60V或更低。</t>
    </r>
  </si>
  <si>
    <t>如果是高压（220V），可以高一点80V(在70~90V)。</t>
  </si>
  <si>
    <t>小功率变压器（&lt;30W），也可以高一点。</t>
  </si>
  <si>
    <t>Ipk(mA)满载估计低压 (90V输入时）</t>
  </si>
  <si>
    <t>Ipk(mA)满载估计高压 (264V输入时）</t>
  </si>
  <si>
    <r>
      <t>V</t>
    </r>
    <r>
      <rPr>
        <b/>
        <vertAlign val="subscript"/>
        <sz val="12"/>
        <color indexed="10"/>
        <rFont val="宋体"/>
        <family val="0"/>
      </rPr>
      <t>(BR)S</t>
    </r>
    <r>
      <rPr>
        <b/>
        <sz val="12"/>
        <color indexed="10"/>
        <rFont val="宋体"/>
        <family val="0"/>
      </rPr>
      <t>(V)(无尖峰时）</t>
    </r>
  </si>
  <si>
    <r>
      <t>V</t>
    </r>
    <r>
      <rPr>
        <vertAlign val="subscript"/>
        <sz val="12"/>
        <rFont val="宋体"/>
        <family val="0"/>
      </rPr>
      <t>(BR)VCC</t>
    </r>
    <r>
      <rPr>
        <sz val="12"/>
        <rFont val="宋体"/>
        <family val="0"/>
      </rPr>
      <t>(V)</t>
    </r>
    <r>
      <rPr>
        <sz val="12"/>
        <rFont val="宋体"/>
        <family val="0"/>
      </rPr>
      <t>(</t>
    </r>
    <r>
      <rPr>
        <sz val="12"/>
        <rFont val="宋体"/>
        <family val="0"/>
      </rPr>
      <t>无尖峰时）</t>
    </r>
  </si>
  <si>
    <r>
      <t>V</t>
    </r>
    <r>
      <rPr>
        <vertAlign val="subscript"/>
        <sz val="12"/>
        <rFont val="宋体"/>
        <family val="0"/>
      </rPr>
      <t>(BR)S2</t>
    </r>
    <r>
      <rPr>
        <sz val="12"/>
        <rFont val="宋体"/>
        <family val="0"/>
      </rPr>
      <t>(V)</t>
    </r>
    <r>
      <rPr>
        <sz val="12"/>
        <rFont val="宋体"/>
        <family val="0"/>
      </rPr>
      <t>(</t>
    </r>
    <r>
      <rPr>
        <sz val="12"/>
        <rFont val="宋体"/>
        <family val="0"/>
      </rPr>
      <t>无尖峰时）</t>
    </r>
  </si>
  <si>
    <t>当前输出电压</t>
  </si>
  <si>
    <t>当前输入交流电压</t>
  </si>
  <si>
    <t>当前D占空比</t>
  </si>
  <si>
    <t>匝数比_N</t>
  </si>
  <si>
    <t>当前输入电容上的电压</t>
  </si>
  <si>
    <t>理论电容最高电压</t>
  </si>
  <si>
    <t xml:space="preserve"> </t>
  </si>
  <si>
    <t>当前VOR</t>
  </si>
  <si>
    <t>输入电流(A)高压时</t>
  </si>
  <si>
    <t>输入电流(A)低压时</t>
  </si>
  <si>
    <r>
      <t>输入电流(m</t>
    </r>
    <r>
      <rPr>
        <sz val="12"/>
        <rFont val="宋体"/>
        <family val="0"/>
      </rPr>
      <t>A)低压时</t>
    </r>
  </si>
  <si>
    <r>
      <t>输入电流(m</t>
    </r>
    <r>
      <rPr>
        <sz val="12"/>
        <rFont val="宋体"/>
        <family val="0"/>
      </rPr>
      <t>A)高压时</t>
    </r>
  </si>
  <si>
    <t>骨架：EE19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</si>
</sst>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_ "/>
    <numFmt numFmtId="186" formatCode="0.0000000000_ "/>
    <numFmt numFmtId="187" formatCode="0.00_);[Red]\(0.00\)"/>
    <numFmt numFmtId="188" formatCode="0.000_ "/>
    <numFmt numFmtId="189" formatCode="0.00000_ "/>
    <numFmt numFmtId="190" formatCode="0_ "/>
    <numFmt numFmtId="191" formatCode="0.0_ "/>
    <numFmt numFmtId="192" formatCode="0.0000_ "/>
  </numFmts>
  <fonts count="60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vertAlign val="superscript"/>
      <sz val="12"/>
      <name val="宋体"/>
      <family val="0"/>
    </font>
    <font>
      <vertAlign val="superscript"/>
      <sz val="12"/>
      <color indexed="12"/>
      <name val="宋体"/>
      <family val="0"/>
    </font>
    <font>
      <vertAlign val="subscript"/>
      <sz val="12"/>
      <name val="宋体"/>
      <family val="0"/>
    </font>
    <font>
      <sz val="12"/>
      <color indexed="57"/>
      <name val="宋体"/>
      <family val="0"/>
    </font>
    <font>
      <sz val="10"/>
      <name val="宋体"/>
      <family val="0"/>
    </font>
    <font>
      <vertAlign val="subscript"/>
      <sz val="12"/>
      <color indexed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u val="single"/>
      <sz val="12"/>
      <color indexed="10"/>
      <name val="宋体"/>
      <family val="0"/>
    </font>
    <font>
      <b/>
      <sz val="12"/>
      <color indexed="10"/>
      <name val="宋体"/>
      <family val="0"/>
    </font>
    <font>
      <b/>
      <vertAlign val="subscript"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9"/>
      <name val="宋体"/>
      <family val="0"/>
    </font>
    <font>
      <b/>
      <sz val="12"/>
      <color indexed="49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8" tint="-0.24997000396251678"/>
      <name val="宋体"/>
      <family val="0"/>
    </font>
    <font>
      <b/>
      <sz val="12"/>
      <color theme="8" tint="-0.24997000396251678"/>
      <name val="宋体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2"/>
      <color theme="8"/>
      <name val="宋体"/>
      <family val="0"/>
    </font>
    <font>
      <sz val="12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0" fillId="32" borderId="9" applyNumberFormat="0" applyFont="0" applyAlignment="0" applyProtection="0"/>
  </cellStyleXfs>
  <cellXfs count="18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188" fontId="5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4" fontId="9" fillId="0" borderId="0" xfId="0" applyNumberFormat="1" applyFont="1" applyBorder="1" applyAlignment="1">
      <alignment horizontal="center"/>
    </xf>
    <xf numFmtId="184" fontId="9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90" fontId="13" fillId="0" borderId="10" xfId="0" applyNumberFormat="1" applyFont="1" applyBorder="1" applyAlignment="1">
      <alignment horizontal="center"/>
    </xf>
    <xf numFmtId="190" fontId="13" fillId="0" borderId="11" xfId="0" applyNumberFormat="1" applyFont="1" applyBorder="1" applyAlignment="1">
      <alignment horizontal="center"/>
    </xf>
    <xf numFmtId="190" fontId="13" fillId="0" borderId="12" xfId="0" applyNumberFormat="1" applyFont="1" applyBorder="1" applyAlignment="1">
      <alignment horizontal="center"/>
    </xf>
    <xf numFmtId="190" fontId="13" fillId="0" borderId="24" xfId="0" applyNumberFormat="1" applyFont="1" applyBorder="1" applyAlignment="1">
      <alignment horizontal="center"/>
    </xf>
    <xf numFmtId="0" fontId="0" fillId="0" borderId="0" xfId="0" applyAlignment="1">
      <alignment/>
    </xf>
    <xf numFmtId="184" fontId="54" fillId="0" borderId="10" xfId="0" applyNumberFormat="1" applyFont="1" applyBorder="1" applyAlignment="1">
      <alignment horizontal="center"/>
    </xf>
    <xf numFmtId="188" fontId="54" fillId="0" borderId="12" xfId="0" applyNumberFormat="1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91" fontId="54" fillId="0" borderId="17" xfId="0" applyNumberFormat="1" applyFont="1" applyBorder="1" applyAlignment="1">
      <alignment horizontal="center"/>
    </xf>
    <xf numFmtId="184" fontId="54" fillId="0" borderId="20" xfId="0" applyNumberFormat="1" applyFont="1" applyBorder="1" applyAlignment="1">
      <alignment horizontal="center"/>
    </xf>
    <xf numFmtId="191" fontId="54" fillId="0" borderId="10" xfId="0" applyNumberFormat="1" applyFont="1" applyBorder="1" applyAlignment="1">
      <alignment horizontal="center"/>
    </xf>
    <xf numFmtId="189" fontId="54" fillId="0" borderId="10" xfId="0" applyNumberFormat="1" applyFont="1" applyBorder="1" applyAlignment="1">
      <alignment horizontal="center"/>
    </xf>
    <xf numFmtId="192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89" fontId="54" fillId="0" borderId="11" xfId="0" applyNumberFormat="1" applyFont="1" applyBorder="1" applyAlignment="1">
      <alignment horizontal="center"/>
    </xf>
    <xf numFmtId="191" fontId="54" fillId="0" borderId="11" xfId="0" applyNumberFormat="1" applyFont="1" applyBorder="1" applyAlignment="1">
      <alignment horizontal="center"/>
    </xf>
    <xf numFmtId="184" fontId="54" fillId="0" borderId="21" xfId="0" applyNumberFormat="1" applyFont="1" applyBorder="1" applyAlignment="1">
      <alignment horizontal="center"/>
    </xf>
    <xf numFmtId="191" fontId="54" fillId="0" borderId="12" xfId="0" applyNumberFormat="1" applyFont="1" applyBorder="1" applyAlignment="1">
      <alignment horizontal="center"/>
    </xf>
    <xf numFmtId="184" fontId="54" fillId="0" borderId="12" xfId="0" applyNumberFormat="1" applyFont="1" applyBorder="1" applyAlignment="1">
      <alignment horizontal="center"/>
    </xf>
    <xf numFmtId="191" fontId="54" fillId="0" borderId="24" xfId="0" applyNumberFormat="1" applyFont="1" applyBorder="1" applyAlignment="1">
      <alignment horizontal="center"/>
    </xf>
    <xf numFmtId="188" fontId="54" fillId="0" borderId="21" xfId="0" applyNumberFormat="1" applyFont="1" applyBorder="1" applyAlignment="1">
      <alignment horizontal="center"/>
    </xf>
    <xf numFmtId="184" fontId="54" fillId="0" borderId="20" xfId="0" applyNumberFormat="1" applyFont="1" applyBorder="1" applyAlignment="1">
      <alignment/>
    </xf>
    <xf numFmtId="191" fontId="54" fillId="0" borderId="25" xfId="0" applyNumberFormat="1" applyFont="1" applyBorder="1" applyAlignment="1">
      <alignment horizontal="center"/>
    </xf>
    <xf numFmtId="189" fontId="54" fillId="0" borderId="24" xfId="0" applyNumberFormat="1" applyFont="1" applyBorder="1" applyAlignment="1">
      <alignment horizontal="center"/>
    </xf>
    <xf numFmtId="188" fontId="54" fillId="0" borderId="24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184" fontId="54" fillId="0" borderId="24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91" fontId="54" fillId="0" borderId="0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189" fontId="54" fillId="0" borderId="0" xfId="0" applyNumberFormat="1" applyFont="1" applyBorder="1" applyAlignment="1">
      <alignment horizontal="center"/>
    </xf>
    <xf numFmtId="188" fontId="54" fillId="0" borderId="25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/>
    </xf>
    <xf numFmtId="184" fontId="55" fillId="0" borderId="11" xfId="0" applyNumberFormat="1" applyFont="1" applyBorder="1" applyAlignment="1">
      <alignment horizontal="center"/>
    </xf>
    <xf numFmtId="0" fontId="56" fillId="0" borderId="14" xfId="0" applyFont="1" applyBorder="1" applyAlignment="1">
      <alignment/>
    </xf>
    <xf numFmtId="188" fontId="57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Border="1" applyAlignment="1">
      <alignment/>
    </xf>
    <xf numFmtId="191" fontId="55" fillId="0" borderId="24" xfId="0" applyNumberFormat="1" applyFont="1" applyBorder="1" applyAlignment="1">
      <alignment horizontal="center"/>
    </xf>
    <xf numFmtId="192" fontId="54" fillId="0" borderId="21" xfId="0" applyNumberFormat="1" applyFont="1" applyBorder="1" applyAlignment="1">
      <alignment horizontal="center"/>
    </xf>
    <xf numFmtId="184" fontId="58" fillId="0" borderId="29" xfId="0" applyNumberFormat="1" applyFont="1" applyBorder="1" applyAlignment="1">
      <alignment horizontal="center"/>
    </xf>
    <xf numFmtId="184" fontId="58" fillId="0" borderId="21" xfId="0" applyNumberFormat="1" applyFont="1" applyBorder="1" applyAlignment="1">
      <alignment horizontal="center"/>
    </xf>
    <xf numFmtId="184" fontId="58" fillId="0" borderId="24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0" fillId="0" borderId="31" xfId="0" applyBorder="1" applyAlignment="1">
      <alignment/>
    </xf>
    <xf numFmtId="184" fontId="9" fillId="0" borderId="32" xfId="0" applyNumberFormat="1" applyFont="1" applyBorder="1" applyAlignment="1">
      <alignment horizontal="center"/>
    </xf>
    <xf numFmtId="184" fontId="9" fillId="0" borderId="32" xfId="0" applyNumberFormat="1" applyFont="1" applyBorder="1" applyAlignment="1">
      <alignment/>
    </xf>
    <xf numFmtId="188" fontId="9" fillId="0" borderId="33" xfId="0" applyNumberFormat="1" applyFont="1" applyBorder="1" applyAlignment="1">
      <alignment horizontal="center"/>
    </xf>
    <xf numFmtId="184" fontId="59" fillId="0" borderId="33" xfId="0" applyNumberFormat="1" applyFont="1" applyBorder="1" applyAlignment="1">
      <alignment horizontal="center"/>
    </xf>
    <xf numFmtId="192" fontId="54" fillId="0" borderId="12" xfId="0" applyNumberFormat="1" applyFont="1" applyBorder="1" applyAlignment="1">
      <alignment horizontal="center"/>
    </xf>
    <xf numFmtId="192" fontId="54" fillId="0" borderId="24" xfId="0" applyNumberFormat="1" applyFont="1" applyBorder="1" applyAlignment="1">
      <alignment horizontal="center"/>
    </xf>
    <xf numFmtId="184" fontId="54" fillId="0" borderId="15" xfId="0" applyNumberFormat="1" applyFont="1" applyBorder="1" applyAlignment="1">
      <alignment horizontal="center"/>
    </xf>
    <xf numFmtId="184" fontId="54" fillId="0" borderId="11" xfId="0" applyNumberFormat="1" applyFont="1" applyBorder="1" applyAlignment="1">
      <alignment horizontal="center"/>
    </xf>
    <xf numFmtId="189" fontId="54" fillId="0" borderId="10" xfId="0" applyNumberFormat="1" applyFont="1" applyBorder="1" applyAlignment="1">
      <alignment/>
    </xf>
    <xf numFmtId="0" fontId="57" fillId="0" borderId="20" xfId="0" applyFont="1" applyBorder="1" applyAlignment="1">
      <alignment horizontal="center"/>
    </xf>
    <xf numFmtId="192" fontId="54" fillId="0" borderId="11" xfId="0" applyNumberFormat="1" applyFont="1" applyBorder="1" applyAlignment="1">
      <alignment horizontal="center"/>
    </xf>
    <xf numFmtId="189" fontId="54" fillId="0" borderId="11" xfId="0" applyNumberFormat="1" applyFont="1" applyBorder="1" applyAlignment="1">
      <alignment horizontal="center"/>
    </xf>
    <xf numFmtId="184" fontId="54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6" fillId="0" borderId="16" xfId="0" applyFont="1" applyBorder="1" applyAlignment="1">
      <alignment/>
    </xf>
    <xf numFmtId="0" fontId="56" fillId="0" borderId="20" xfId="0" applyFont="1" applyBorder="1" applyAlignment="1">
      <alignment/>
    </xf>
    <xf numFmtId="0" fontId="56" fillId="0" borderId="36" xfId="0" applyFont="1" applyBorder="1" applyAlignment="1">
      <alignment/>
    </xf>
    <xf numFmtId="0" fontId="56" fillId="0" borderId="2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/>
    </xf>
    <xf numFmtId="0" fontId="12" fillId="0" borderId="11" xfId="0" applyFont="1" applyBorder="1" applyAlignment="1">
      <alignment/>
    </xf>
    <xf numFmtId="192" fontId="54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3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4" fillId="0" borderId="14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Font="1" applyAlignment="1">
      <alignment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50" xfId="0" applyBorder="1" applyAlignment="1">
      <alignment/>
    </xf>
    <xf numFmtId="0" fontId="0" fillId="0" borderId="2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4" xfId="0" applyFont="1" applyBorder="1" applyAlignment="1">
      <alignment/>
    </xf>
    <xf numFmtId="0" fontId="0" fillId="0" borderId="30" xfId="0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5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48</xdr:row>
      <xdr:rowOff>142875</xdr:rowOff>
    </xdr:from>
    <xdr:to>
      <xdr:col>7</xdr:col>
      <xdr:colOff>742950</xdr:colOff>
      <xdr:row>63</xdr:row>
      <xdr:rowOff>66675</xdr:rowOff>
    </xdr:to>
    <xdr:pic>
      <xdr:nvPicPr>
        <xdr:cNvPr id="1" name="图片 1" descr="VOR的波形表示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9677400"/>
          <a:ext cx="43434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876300</xdr:colOff>
      <xdr:row>43</xdr:row>
      <xdr:rowOff>76200</xdr:rowOff>
    </xdr:from>
    <xdr:to>
      <xdr:col>15</xdr:col>
      <xdr:colOff>19050</xdr:colOff>
      <xdr:row>66</xdr:row>
      <xdr:rowOff>47625</xdr:rowOff>
    </xdr:to>
    <xdr:pic>
      <xdr:nvPicPr>
        <xdr:cNvPr id="2" name="图片 2" descr="IP及变压器饱和计算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8686800"/>
          <a:ext cx="555307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PageLayoutView="0" workbookViewId="0" topLeftCell="A22">
      <selection activeCell="B31" sqref="B31"/>
    </sheetView>
  </sheetViews>
  <sheetFormatPr defaultColWidth="9.00390625" defaultRowHeight="14.25"/>
  <cols>
    <col min="1" max="1" width="15.25390625" style="0" customWidth="1"/>
    <col min="2" max="2" width="13.25390625" style="0" customWidth="1"/>
    <col min="3" max="3" width="9.50390625" style="0" bestFit="1" customWidth="1"/>
    <col min="4" max="4" width="10.375" style="0" customWidth="1"/>
    <col min="5" max="5" width="9.625" style="0" bestFit="1" customWidth="1"/>
    <col min="7" max="7" width="12.50390625" style="0" customWidth="1"/>
    <col min="8" max="8" width="14.50390625" style="0" bestFit="1" customWidth="1"/>
    <col min="10" max="10" width="11.50390625" style="0" customWidth="1"/>
    <col min="11" max="11" width="15.00390625" style="0" bestFit="1" customWidth="1"/>
    <col min="12" max="12" width="7.125" style="0" customWidth="1"/>
  </cols>
  <sheetData>
    <row r="1" spans="3:8" ht="14.25">
      <c r="C1" s="135" t="s">
        <v>103</v>
      </c>
      <c r="D1" s="135"/>
      <c r="E1" s="135"/>
      <c r="F1" s="135"/>
      <c r="G1" s="135"/>
      <c r="H1" s="101"/>
    </row>
    <row r="2" spans="3:8" ht="14.25">
      <c r="C2" s="135"/>
      <c r="D2" s="135"/>
      <c r="E2" s="135"/>
      <c r="F2" s="135"/>
      <c r="G2" s="135"/>
      <c r="H2" s="101"/>
    </row>
    <row r="3" spans="3:8" ht="15" thickBot="1">
      <c r="C3" s="135"/>
      <c r="D3" s="135"/>
      <c r="E3" s="135"/>
      <c r="F3" s="135"/>
      <c r="G3" s="135"/>
      <c r="H3" s="101"/>
    </row>
    <row r="4" spans="3:10" ht="14.25">
      <c r="C4" s="138" t="s">
        <v>0</v>
      </c>
      <c r="D4" s="139"/>
      <c r="E4" s="139"/>
      <c r="F4" s="139" t="s">
        <v>1</v>
      </c>
      <c r="G4" s="139"/>
      <c r="H4" s="140"/>
      <c r="I4" s="147" t="s">
        <v>33</v>
      </c>
      <c r="J4" s="148"/>
    </row>
    <row r="5" spans="3:12" ht="14.25">
      <c r="C5" s="137" t="s">
        <v>3</v>
      </c>
      <c r="D5" s="136"/>
      <c r="E5" s="1">
        <v>45</v>
      </c>
      <c r="F5" s="136" t="s">
        <v>4</v>
      </c>
      <c r="G5" s="136"/>
      <c r="H5" s="3">
        <v>12</v>
      </c>
      <c r="I5" s="141"/>
      <c r="J5" s="142"/>
      <c r="L5" s="8"/>
    </row>
    <row r="6" spans="3:10" ht="14.25">
      <c r="C6" s="137" t="s">
        <v>2</v>
      </c>
      <c r="D6" s="136"/>
      <c r="E6" s="1">
        <v>7</v>
      </c>
      <c r="F6" s="136" t="s">
        <v>5</v>
      </c>
      <c r="G6" s="136"/>
      <c r="H6" s="3">
        <v>0.5</v>
      </c>
      <c r="I6" s="141"/>
      <c r="J6" s="142"/>
    </row>
    <row r="7" spans="3:10" ht="14.25">
      <c r="C7" s="137" t="s">
        <v>6</v>
      </c>
      <c r="D7" s="136"/>
      <c r="E7" s="1">
        <v>50</v>
      </c>
      <c r="F7" s="136" t="s">
        <v>11</v>
      </c>
      <c r="G7" s="136"/>
      <c r="H7" s="3">
        <v>80</v>
      </c>
      <c r="I7" s="141"/>
      <c r="J7" s="142"/>
    </row>
    <row r="8" spans="3:10" ht="14.25">
      <c r="C8" s="137" t="s">
        <v>7</v>
      </c>
      <c r="D8" s="136"/>
      <c r="E8" s="1">
        <v>60</v>
      </c>
      <c r="F8" s="136" t="s">
        <v>19</v>
      </c>
      <c r="G8" s="136"/>
      <c r="H8" s="3">
        <v>0.49</v>
      </c>
      <c r="I8" s="141"/>
      <c r="J8" s="142"/>
    </row>
    <row r="9" spans="3:10" ht="14.25">
      <c r="C9" s="137"/>
      <c r="D9" s="136"/>
      <c r="E9" s="1"/>
      <c r="F9" s="136" t="s">
        <v>88</v>
      </c>
      <c r="G9" s="136"/>
      <c r="H9" s="38">
        <f>((E40/E41)*(H5+H13))/(((E40/E41)*(H5+H13))+E20)</f>
        <v>0.6433814067920488</v>
      </c>
      <c r="I9" s="141"/>
      <c r="J9" s="142"/>
    </row>
    <row r="10" spans="3:11" ht="14.25">
      <c r="C10" s="137" t="s">
        <v>10</v>
      </c>
      <c r="D10" s="136"/>
      <c r="E10" s="37">
        <f>H10/(H7/100)</f>
        <v>7.5</v>
      </c>
      <c r="F10" s="136" t="s">
        <v>9</v>
      </c>
      <c r="G10" s="136"/>
      <c r="H10" s="39">
        <f>H5*H6</f>
        <v>6</v>
      </c>
      <c r="I10" s="141"/>
      <c r="J10" s="142"/>
      <c r="K10" s="7"/>
    </row>
    <row r="11" spans="3:11" ht="16.5">
      <c r="C11" s="128" t="s">
        <v>13</v>
      </c>
      <c r="D11" s="129"/>
      <c r="E11" s="14">
        <v>10000</v>
      </c>
      <c r="F11" s="129" t="s">
        <v>43</v>
      </c>
      <c r="G11" s="129"/>
      <c r="H11" s="15">
        <v>23</v>
      </c>
      <c r="I11" s="143" t="s">
        <v>126</v>
      </c>
      <c r="J11" s="144"/>
      <c r="K11" s="7"/>
    </row>
    <row r="12" spans="3:11" ht="16.5">
      <c r="C12" s="128" t="s">
        <v>52</v>
      </c>
      <c r="D12" s="129"/>
      <c r="E12" s="40">
        <f>E10*2</f>
        <v>15</v>
      </c>
      <c r="F12" s="129" t="s">
        <v>45</v>
      </c>
      <c r="G12" s="129"/>
      <c r="H12" s="15">
        <v>2.4</v>
      </c>
      <c r="I12" s="149"/>
      <c r="J12" s="150"/>
      <c r="K12" s="7"/>
    </row>
    <row r="13" spans="3:11" ht="19.5" thickBot="1">
      <c r="C13" s="133" t="s">
        <v>68</v>
      </c>
      <c r="D13" s="134"/>
      <c r="E13" s="2">
        <v>12.5</v>
      </c>
      <c r="F13" s="132" t="s">
        <v>55</v>
      </c>
      <c r="G13" s="132"/>
      <c r="H13" s="16">
        <v>0.5</v>
      </c>
      <c r="I13" s="145"/>
      <c r="J13" s="146"/>
      <c r="K13" s="7"/>
    </row>
    <row r="14" spans="3:11" ht="14.25">
      <c r="C14" s="155" t="s">
        <v>91</v>
      </c>
      <c r="D14" s="156"/>
      <c r="E14" s="156"/>
      <c r="F14" s="156"/>
      <c r="G14" s="156"/>
      <c r="H14" s="156"/>
      <c r="I14" s="156"/>
      <c r="J14" s="156"/>
      <c r="K14" s="36"/>
    </row>
    <row r="15" spans="3:11" ht="14.25">
      <c r="C15" s="119" t="s">
        <v>92</v>
      </c>
      <c r="D15" s="101"/>
      <c r="E15" s="101"/>
      <c r="F15" s="101"/>
      <c r="G15" s="101"/>
      <c r="H15" s="101"/>
      <c r="I15" s="101"/>
      <c r="J15" s="101"/>
      <c r="K15" s="36"/>
    </row>
    <row r="16" spans="3:11" ht="14.25">
      <c r="C16" s="157" t="s">
        <v>85</v>
      </c>
      <c r="D16" s="101"/>
      <c r="E16" s="101"/>
      <c r="F16" s="101"/>
      <c r="G16" s="101"/>
      <c r="H16" s="101"/>
      <c r="I16" s="101"/>
      <c r="J16" s="101"/>
      <c r="K16" s="36"/>
    </row>
    <row r="17" spans="3:11" ht="14.25">
      <c r="C17" s="157" t="s">
        <v>86</v>
      </c>
      <c r="D17" s="101"/>
      <c r="E17" s="101"/>
      <c r="F17" s="101"/>
      <c r="G17" s="101"/>
      <c r="H17" s="101"/>
      <c r="I17" s="101"/>
      <c r="J17" s="101"/>
      <c r="K17" s="36"/>
    </row>
    <row r="18" spans="3:8" ht="14.25">
      <c r="C18" s="101"/>
      <c r="D18" s="101"/>
      <c r="E18" s="101"/>
      <c r="F18" s="101"/>
      <c r="G18" s="101"/>
      <c r="H18" s="101"/>
    </row>
    <row r="19" spans="1:8" ht="15" thickBot="1">
      <c r="A19" s="177" t="s">
        <v>53</v>
      </c>
      <c r="B19" s="170"/>
      <c r="C19" s="130" t="s">
        <v>87</v>
      </c>
      <c r="D19" s="131"/>
      <c r="E19" s="131"/>
      <c r="F19" s="131"/>
      <c r="G19" s="131"/>
      <c r="H19" s="131"/>
    </row>
    <row r="20" spans="1:10" ht="14.25">
      <c r="A20" s="165" t="s">
        <v>8</v>
      </c>
      <c r="B20" s="166"/>
      <c r="C20" s="98" t="s">
        <v>18</v>
      </c>
      <c r="D20" s="98"/>
      <c r="E20" s="41">
        <f>E6*1.414*0.7</f>
        <v>6.928599999999999</v>
      </c>
      <c r="F20" s="98" t="s">
        <v>56</v>
      </c>
      <c r="G20" s="98"/>
      <c r="H20" s="48">
        <f>E13/(H5+H13)</f>
        <v>1</v>
      </c>
      <c r="I20" s="151" t="s">
        <v>28</v>
      </c>
      <c r="J20" s="152"/>
    </row>
    <row r="21" spans="1:12" ht="14.25">
      <c r="A21" s="4" t="s">
        <v>17</v>
      </c>
      <c r="B21" s="43">
        <f>1/E7/2</f>
        <v>0.01</v>
      </c>
      <c r="C21" s="99" t="s">
        <v>21</v>
      </c>
      <c r="D21" s="99"/>
      <c r="E21" s="42">
        <f>1000*E20*B26/H11/0.16</f>
        <v>15.375969202898547</v>
      </c>
      <c r="F21" s="99" t="s">
        <v>23</v>
      </c>
      <c r="G21" s="99"/>
      <c r="H21" s="49">
        <f>E21/H20</f>
        <v>15.375969202898547</v>
      </c>
      <c r="I21" s="153" t="s">
        <v>29</v>
      </c>
      <c r="J21" s="154"/>
      <c r="L21" s="12"/>
    </row>
    <row r="22" spans="1:10" ht="14.25">
      <c r="A22" s="4" t="s">
        <v>14</v>
      </c>
      <c r="B22" s="11">
        <v>0.003</v>
      </c>
      <c r="C22" s="99" t="s">
        <v>22</v>
      </c>
      <c r="D22" s="99"/>
      <c r="E22" s="42">
        <f>1000*E20*B26/H11/0.3</f>
        <v>8.20051690821256</v>
      </c>
      <c r="F22" s="99" t="s">
        <v>24</v>
      </c>
      <c r="G22" s="99"/>
      <c r="H22" s="49">
        <f>E22/H20</f>
        <v>8.20051690821256</v>
      </c>
      <c r="I22" s="153" t="s">
        <v>30</v>
      </c>
      <c r="J22" s="154"/>
    </row>
    <row r="23" spans="1:10" ht="16.5">
      <c r="A23" s="4" t="s">
        <v>12</v>
      </c>
      <c r="B23" s="44">
        <f>B24-B25</f>
        <v>87.5</v>
      </c>
      <c r="C23" s="99"/>
      <c r="D23" s="99"/>
      <c r="E23" s="13"/>
      <c r="F23" s="99"/>
      <c r="G23" s="99"/>
      <c r="H23" s="39"/>
      <c r="I23" s="153"/>
      <c r="J23" s="154"/>
    </row>
    <row r="24" spans="1:10" ht="14.25">
      <c r="A24" s="4" t="s">
        <v>15</v>
      </c>
      <c r="B24" s="45">
        <f>E6*E6*2</f>
        <v>98</v>
      </c>
      <c r="C24" s="99" t="s">
        <v>57</v>
      </c>
      <c r="D24" s="99"/>
      <c r="E24" s="1">
        <v>14</v>
      </c>
      <c r="F24" s="99" t="s">
        <v>58</v>
      </c>
      <c r="G24" s="99"/>
      <c r="H24" s="49">
        <f>E24*H20</f>
        <v>14</v>
      </c>
      <c r="I24" s="153"/>
      <c r="J24" s="154"/>
    </row>
    <row r="25" spans="1:13" ht="18.75">
      <c r="A25" s="4" t="s">
        <v>16</v>
      </c>
      <c r="B25" s="37">
        <f>2*1000000*E10*(B21-B22)/E11</f>
        <v>10.5</v>
      </c>
      <c r="C25" s="99"/>
      <c r="D25" s="99"/>
      <c r="E25" s="5"/>
      <c r="F25" s="124" t="s">
        <v>93</v>
      </c>
      <c r="G25" s="99"/>
      <c r="H25" s="50">
        <f>H5+0.4+1.414*E24*E5/H24</f>
        <v>76.03</v>
      </c>
      <c r="I25" s="153"/>
      <c r="J25" s="154"/>
      <c r="M25" t="s">
        <v>44</v>
      </c>
    </row>
    <row r="26" spans="1:10" ht="15" thickBot="1">
      <c r="A26" s="6" t="s">
        <v>20</v>
      </c>
      <c r="B26" s="46">
        <f>H8/E8</f>
        <v>0.008166666666666666</v>
      </c>
      <c r="C26" s="125" t="s">
        <v>61</v>
      </c>
      <c r="D26" s="125"/>
      <c r="E26" s="47">
        <f>1000*E20*B26/H11/0.23</f>
        <v>10.69632640201638</v>
      </c>
      <c r="F26" s="125" t="s">
        <v>75</v>
      </c>
      <c r="G26" s="125"/>
      <c r="H26" s="51">
        <f>E26/H20</f>
        <v>10.69632640201638</v>
      </c>
      <c r="I26" s="174" t="s">
        <v>62</v>
      </c>
      <c r="J26" s="175"/>
    </row>
    <row r="27" spans="1:10" ht="15" thickBot="1">
      <c r="A27" s="61"/>
      <c r="B27" s="62"/>
      <c r="C27" s="59"/>
      <c r="D27" s="59"/>
      <c r="E27" s="60"/>
      <c r="F27" s="59"/>
      <c r="G27" s="59"/>
      <c r="H27" s="60"/>
      <c r="I27" s="65"/>
      <c r="J27" s="65"/>
    </row>
    <row r="28" spans="1:13" ht="19.5" thickBot="1">
      <c r="A28" s="121" t="s">
        <v>54</v>
      </c>
      <c r="B28" s="122"/>
      <c r="C28" s="64"/>
      <c r="D28" s="64"/>
      <c r="E28" s="64"/>
      <c r="F28" s="64"/>
      <c r="G28" s="64"/>
      <c r="H28" s="64"/>
      <c r="I28" s="110" t="s">
        <v>95</v>
      </c>
      <c r="J28" s="111"/>
      <c r="K28" s="75">
        <f>H5+H13+1.45*1.414*H29*E5/E29</f>
        <v>104.76350000000001</v>
      </c>
      <c r="M28" t="s">
        <v>40</v>
      </c>
    </row>
    <row r="29" spans="1:13" ht="18.75">
      <c r="A29" s="69" t="s">
        <v>89</v>
      </c>
      <c r="B29" s="74">
        <f>B32*2*E10/(E20*H9)</f>
        <v>2.0189637156135443</v>
      </c>
      <c r="C29" s="116" t="s">
        <v>59</v>
      </c>
      <c r="D29" s="98"/>
      <c r="E29" s="17">
        <v>14</v>
      </c>
      <c r="F29" s="98" t="s">
        <v>60</v>
      </c>
      <c r="G29" s="98"/>
      <c r="H29" s="18">
        <v>14</v>
      </c>
      <c r="I29" s="110" t="s">
        <v>111</v>
      </c>
      <c r="J29" s="111"/>
      <c r="K29" s="76">
        <f>H5+H13+1.414*H29*E5/E29</f>
        <v>76.13</v>
      </c>
      <c r="M29" t="s">
        <v>41</v>
      </c>
    </row>
    <row r="30" spans="1:13" ht="18.75">
      <c r="A30" s="4" t="s">
        <v>31</v>
      </c>
      <c r="B30" s="86">
        <f>1.1*E20*E20*H9*H9/(2*E10*E8*B32)</f>
        <v>0.0404787335427604</v>
      </c>
      <c r="C30" s="173" t="s">
        <v>25</v>
      </c>
      <c r="D30" s="115"/>
      <c r="E30" s="9">
        <v>13</v>
      </c>
      <c r="F30" s="115" t="s">
        <v>27</v>
      </c>
      <c r="G30" s="115"/>
      <c r="H30" s="54">
        <f>H29*E30/H5</f>
        <v>15.166666666666666</v>
      </c>
      <c r="I30" s="176" t="s">
        <v>34</v>
      </c>
      <c r="J30" s="99"/>
      <c r="K30" s="50">
        <f>E30+0.4+1.414*H30*E5/E29</f>
        <v>82.3325</v>
      </c>
      <c r="M30" t="s">
        <v>42</v>
      </c>
    </row>
    <row r="31" spans="1:13" ht="19.5" thickBot="1">
      <c r="A31" s="70" t="s">
        <v>32</v>
      </c>
      <c r="B31" s="87">
        <f>1000*B29*B30/E29/H11</f>
        <v>0.2538046406112489</v>
      </c>
      <c r="C31" s="123" t="s">
        <v>26</v>
      </c>
      <c r="D31" s="96"/>
      <c r="E31" s="2">
        <v>26</v>
      </c>
      <c r="F31" s="96" t="s">
        <v>27</v>
      </c>
      <c r="G31" s="96"/>
      <c r="H31" s="51">
        <f>H29*E31/H5</f>
        <v>30.333333333333332</v>
      </c>
      <c r="I31" s="123" t="s">
        <v>35</v>
      </c>
      <c r="J31" s="96"/>
      <c r="K31" s="58">
        <f>E31+0.4+1.414*H31*E5/E29</f>
        <v>164.265</v>
      </c>
      <c r="M31" t="s">
        <v>37</v>
      </c>
    </row>
    <row r="32" spans="1:13" ht="18.75">
      <c r="A32" s="78" t="s">
        <v>102</v>
      </c>
      <c r="B32" s="126">
        <v>0.6</v>
      </c>
      <c r="C32" s="114" t="s">
        <v>112</v>
      </c>
      <c r="D32" s="115"/>
      <c r="E32" s="88">
        <f>E30+0.4+1.414*H30*E5/E29</f>
        <v>82.3325</v>
      </c>
      <c r="F32" s="115" t="s">
        <v>46</v>
      </c>
      <c r="G32" s="115"/>
      <c r="H32" s="63">
        <f>0.4*3.1415*H11*(E29*E29/K32/1000000-1/1000/H12)</f>
        <v>0.12957640333333334</v>
      </c>
      <c r="I32" s="116" t="s">
        <v>96</v>
      </c>
      <c r="J32" s="98"/>
      <c r="K32" s="68">
        <v>0.04</v>
      </c>
      <c r="M32" t="s">
        <v>39</v>
      </c>
    </row>
    <row r="33" spans="1:13" ht="19.5" thickBot="1">
      <c r="A33" s="6" t="s">
        <v>104</v>
      </c>
      <c r="B33" s="127"/>
      <c r="C33" s="172" t="s">
        <v>113</v>
      </c>
      <c r="D33" s="96"/>
      <c r="E33" s="89">
        <f>E31+0.4+1.414*H31*E5/E29</f>
        <v>164.265</v>
      </c>
      <c r="F33" s="96" t="s">
        <v>47</v>
      </c>
      <c r="G33" s="96"/>
      <c r="H33" s="55">
        <f>1000*K32/E29/E29</f>
        <v>0.20408163265306123</v>
      </c>
      <c r="I33" s="178" t="s">
        <v>98</v>
      </c>
      <c r="J33" s="96"/>
      <c r="K33" s="73">
        <f>E40*H11*K35/K32</f>
        <v>2043.1273569205537</v>
      </c>
      <c r="M33" t="s">
        <v>38</v>
      </c>
    </row>
    <row r="34" spans="1:13" ht="18.75">
      <c r="A34" s="71" t="s">
        <v>99</v>
      </c>
      <c r="B34" s="52">
        <f>K34*(POWER(H9/3,0.5))</f>
        <v>0.9461697618736927</v>
      </c>
      <c r="C34" s="116"/>
      <c r="D34" s="98"/>
      <c r="E34" s="53"/>
      <c r="F34" s="98"/>
      <c r="G34" s="98"/>
      <c r="H34" s="52"/>
      <c r="I34" s="179" t="s">
        <v>97</v>
      </c>
      <c r="J34" s="98"/>
      <c r="K34" s="74">
        <f>K33/1000</f>
        <v>2.0431273569205537</v>
      </c>
      <c r="M34" t="s">
        <v>48</v>
      </c>
    </row>
    <row r="35" spans="1:13" ht="18.75">
      <c r="A35" s="72" t="s">
        <v>100</v>
      </c>
      <c r="B35" s="50">
        <f>C43*K34*POWER((1-H9)/3,0.5)</f>
        <v>0.704428312355678</v>
      </c>
      <c r="C35" s="117" t="s">
        <v>101</v>
      </c>
      <c r="D35" s="99"/>
      <c r="E35" s="37">
        <f>POWER(B35*B35-H6*H6,0.5)</f>
        <v>0.4962048440395042</v>
      </c>
      <c r="F35" s="99" t="s">
        <v>50</v>
      </c>
      <c r="G35" s="99"/>
      <c r="H35" s="38">
        <f>1.13*POWER(B35/5.18,0.5)</f>
        <v>0.4167081217066993</v>
      </c>
      <c r="I35" s="117" t="s">
        <v>90</v>
      </c>
      <c r="J35" s="99"/>
      <c r="K35" s="86">
        <f>B31</f>
        <v>0.2538046406112489</v>
      </c>
      <c r="M35" t="s">
        <v>49</v>
      </c>
    </row>
    <row r="36" spans="1:11" ht="15" thickBot="1">
      <c r="A36" s="67" t="s">
        <v>36</v>
      </c>
      <c r="B36" s="77">
        <f>1.414*E5+1.45*H40</f>
        <v>81.755</v>
      </c>
      <c r="C36" s="112" t="s">
        <v>94</v>
      </c>
      <c r="D36" s="113"/>
      <c r="E36" s="77">
        <f>1.414*E5+H40</f>
        <v>76.13</v>
      </c>
      <c r="F36" s="96" t="s">
        <v>51</v>
      </c>
      <c r="G36" s="96"/>
      <c r="H36" s="56">
        <f>2*POWER(H6/5/3.1416,0.5)</f>
        <v>0.3568244060254588</v>
      </c>
      <c r="I36" s="123" t="s">
        <v>109</v>
      </c>
      <c r="J36" s="96"/>
      <c r="K36" s="58">
        <f>1.0522*E40*H11*K35/K32</f>
        <v>2149.7786049518063</v>
      </c>
    </row>
    <row r="37" spans="1:11" ht="15" thickBot="1">
      <c r="A37" s="81"/>
      <c r="B37" s="82"/>
      <c r="C37" s="108"/>
      <c r="D37" s="109"/>
      <c r="E37" s="83"/>
      <c r="F37" s="108"/>
      <c r="G37" s="109"/>
      <c r="H37" s="84"/>
      <c r="I37" s="106" t="s">
        <v>110</v>
      </c>
      <c r="J37" s="107"/>
      <c r="K37" s="85">
        <f>0.93737*E40*H11*K35/K32</f>
        <v>1915.1662905566195</v>
      </c>
    </row>
    <row r="38" spans="1:11" ht="14.25">
      <c r="A38" s="24"/>
      <c r="B38" s="25"/>
      <c r="C38" s="23"/>
      <c r="D38" s="23"/>
      <c r="E38" s="26"/>
      <c r="F38" s="23"/>
      <c r="G38" s="23"/>
      <c r="H38" s="27"/>
      <c r="I38" s="80"/>
      <c r="J38" s="23"/>
      <c r="K38" s="79"/>
    </row>
    <row r="39" spans="1:2" ht="15" thickBot="1">
      <c r="A39" s="118" t="s">
        <v>63</v>
      </c>
      <c r="B39" s="119"/>
    </row>
    <row r="40" spans="2:12" ht="18.75">
      <c r="B40" s="10"/>
      <c r="C40" s="22"/>
      <c r="D40" s="22" t="s">
        <v>64</v>
      </c>
      <c r="E40" s="57">
        <f>E29</f>
        <v>14</v>
      </c>
      <c r="F40" s="98" t="s">
        <v>70</v>
      </c>
      <c r="G40" s="98"/>
      <c r="H40" s="48">
        <f>E40*(H5+H13)/E41</f>
        <v>12.5</v>
      </c>
      <c r="I40" s="160" t="s">
        <v>106</v>
      </c>
      <c r="J40" s="156"/>
      <c r="K40" s="156"/>
      <c r="L40" s="161"/>
    </row>
    <row r="41" spans="2:12" ht="14.25">
      <c r="B41" s="20" t="s">
        <v>32</v>
      </c>
      <c r="C41" s="90">
        <f>B31</f>
        <v>0.2538046406112489</v>
      </c>
      <c r="D41" s="21" t="s">
        <v>65</v>
      </c>
      <c r="E41" s="45">
        <f>H29</f>
        <v>14</v>
      </c>
      <c r="F41" s="99" t="s">
        <v>73</v>
      </c>
      <c r="G41" s="99"/>
      <c r="H41" s="49">
        <f>H5</f>
        <v>12</v>
      </c>
      <c r="I41" s="162"/>
      <c r="J41" s="119"/>
      <c r="K41" s="119"/>
      <c r="L41" s="163"/>
    </row>
    <row r="42" spans="2:12" ht="14.25">
      <c r="B42" s="20" t="s">
        <v>69</v>
      </c>
      <c r="C42" s="90">
        <f>K32</f>
        <v>0.04</v>
      </c>
      <c r="D42" s="21" t="s">
        <v>66</v>
      </c>
      <c r="E42" s="42">
        <f>H30</f>
        <v>15.166666666666666</v>
      </c>
      <c r="F42" s="99" t="s">
        <v>71</v>
      </c>
      <c r="G42" s="99"/>
      <c r="H42" s="49">
        <f>E30</f>
        <v>13</v>
      </c>
      <c r="I42" s="164" t="s">
        <v>107</v>
      </c>
      <c r="J42" s="119"/>
      <c r="K42" s="119"/>
      <c r="L42" s="163"/>
    </row>
    <row r="43" spans="2:12" ht="15" thickBot="1">
      <c r="B43" s="6" t="s">
        <v>56</v>
      </c>
      <c r="C43" s="66">
        <f>E40/E41</f>
        <v>1</v>
      </c>
      <c r="D43" s="19" t="s">
        <v>67</v>
      </c>
      <c r="E43" s="47">
        <f>H31</f>
        <v>30.333333333333332</v>
      </c>
      <c r="F43" s="120" t="s">
        <v>72</v>
      </c>
      <c r="G43" s="120"/>
      <c r="H43" s="51">
        <f>E31</f>
        <v>26</v>
      </c>
      <c r="I43" s="169" t="s">
        <v>108</v>
      </c>
      <c r="J43" s="170"/>
      <c r="K43" s="170"/>
      <c r="L43" s="171"/>
    </row>
    <row r="44" ht="15" thickBot="1">
      <c r="A44" s="28" t="s">
        <v>83</v>
      </c>
    </row>
    <row r="45" spans="2:7" ht="14.25">
      <c r="B45" s="158" t="s">
        <v>84</v>
      </c>
      <c r="C45" s="159"/>
      <c r="D45" s="159" t="s">
        <v>81</v>
      </c>
      <c r="E45" s="139"/>
      <c r="F45" s="139" t="s">
        <v>82</v>
      </c>
      <c r="G45" s="140"/>
    </row>
    <row r="46" spans="2:7" ht="14.25">
      <c r="B46" s="4" t="s">
        <v>74</v>
      </c>
      <c r="C46" s="32">
        <f>E26+1.8</f>
        <v>12.496326402016381</v>
      </c>
      <c r="D46" s="30" t="s">
        <v>74</v>
      </c>
      <c r="E46" s="32">
        <f>E26+1.8</f>
        <v>12.496326402016381</v>
      </c>
      <c r="F46" s="5" t="s">
        <v>78</v>
      </c>
      <c r="G46" s="34">
        <f>E26+1.8</f>
        <v>12.496326402016381</v>
      </c>
    </row>
    <row r="47" spans="2:7" ht="14.25">
      <c r="B47" s="4" t="s">
        <v>76</v>
      </c>
      <c r="C47" s="32">
        <f>H26+1.8</f>
        <v>12.496326402016381</v>
      </c>
      <c r="D47" s="30" t="s">
        <v>76</v>
      </c>
      <c r="E47" s="32">
        <f>H26+1.8</f>
        <v>12.496326402016381</v>
      </c>
      <c r="F47" s="5" t="s">
        <v>79</v>
      </c>
      <c r="G47" s="34">
        <f>H26+0.8</f>
        <v>11.496326402016381</v>
      </c>
    </row>
    <row r="48" spans="2:7" ht="15" thickBot="1">
      <c r="B48" s="6" t="s">
        <v>80</v>
      </c>
      <c r="C48" s="33">
        <f>E47*E30/H5</f>
        <v>13.537686935517746</v>
      </c>
      <c r="D48" s="31" t="s">
        <v>80</v>
      </c>
      <c r="E48" s="33">
        <f>E47*E30/H5</f>
        <v>13.537686935517746</v>
      </c>
      <c r="F48" s="29" t="s">
        <v>77</v>
      </c>
      <c r="G48" s="35">
        <f>G47*E30/H5</f>
        <v>12.454353602184412</v>
      </c>
    </row>
    <row r="51" spans="1:10" ht="14.25">
      <c r="A51" s="167" t="s">
        <v>105</v>
      </c>
      <c r="B51" s="168"/>
      <c r="C51" s="168"/>
      <c r="D51" s="168"/>
      <c r="E51" s="168"/>
      <c r="F51" s="168"/>
      <c r="G51" s="168"/>
      <c r="H51" s="168"/>
      <c r="I51" s="168"/>
      <c r="J51" s="168"/>
    </row>
    <row r="52" spans="1:10" ht="14.25">
      <c r="A52" s="168"/>
      <c r="B52" s="168"/>
      <c r="C52" s="168"/>
      <c r="D52" s="168"/>
      <c r="E52" s="168"/>
      <c r="F52" s="168"/>
      <c r="G52" s="168"/>
      <c r="H52" s="168"/>
      <c r="I52" s="168"/>
      <c r="J52" s="168"/>
    </row>
    <row r="53" spans="1:10" ht="14.25">
      <c r="A53" s="168"/>
      <c r="B53" s="168"/>
      <c r="C53" s="168"/>
      <c r="D53" s="168"/>
      <c r="E53" s="168"/>
      <c r="F53" s="168"/>
      <c r="G53" s="168"/>
      <c r="H53" s="168"/>
      <c r="I53" s="168"/>
      <c r="J53" s="168"/>
    </row>
    <row r="54" spans="1:10" ht="14.25">
      <c r="A54" s="168"/>
      <c r="B54" s="168"/>
      <c r="C54" s="168"/>
      <c r="D54" s="168"/>
      <c r="E54" s="168"/>
      <c r="F54" s="168"/>
      <c r="G54" s="168"/>
      <c r="H54" s="168"/>
      <c r="I54" s="168"/>
      <c r="J54" s="168"/>
    </row>
    <row r="55" spans="1:10" ht="14.25">
      <c r="A55" s="168"/>
      <c r="B55" s="168"/>
      <c r="C55" s="168"/>
      <c r="D55" s="168"/>
      <c r="E55" s="168"/>
      <c r="F55" s="168"/>
      <c r="G55" s="168"/>
      <c r="H55" s="168"/>
      <c r="I55" s="168"/>
      <c r="J55" s="168"/>
    </row>
    <row r="56" spans="1:10" ht="14.25">
      <c r="A56" s="168"/>
      <c r="B56" s="168"/>
      <c r="C56" s="168"/>
      <c r="D56" s="168"/>
      <c r="E56" s="168"/>
      <c r="F56" s="168"/>
      <c r="G56" s="168"/>
      <c r="H56" s="168"/>
      <c r="I56" s="168"/>
      <c r="J56" s="168"/>
    </row>
    <row r="57" spans="1:10" ht="14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</row>
    <row r="58" spans="1:10" ht="14.25">
      <c r="A58" s="168"/>
      <c r="B58" s="168"/>
      <c r="C58" s="168"/>
      <c r="D58" s="168"/>
      <c r="E58" s="168"/>
      <c r="F58" s="168"/>
      <c r="G58" s="168"/>
      <c r="H58" s="168"/>
      <c r="I58" s="168"/>
      <c r="J58" s="168"/>
    </row>
    <row r="71" ht="15" thickBot="1"/>
    <row r="72" spans="3:11" ht="14.25">
      <c r="C72" s="103" t="s">
        <v>115</v>
      </c>
      <c r="D72" s="98"/>
      <c r="E72" s="91">
        <v>264</v>
      </c>
      <c r="F72" s="97" t="s">
        <v>118</v>
      </c>
      <c r="G72" s="98"/>
      <c r="H72" s="41">
        <f>E72*1.414*0.7</f>
        <v>261.30719999999997</v>
      </c>
      <c r="I72" s="97" t="s">
        <v>119</v>
      </c>
      <c r="J72" s="98"/>
      <c r="K72" s="48">
        <f>1.414*E72</f>
        <v>373.296</v>
      </c>
    </row>
    <row r="73" spans="3:11" ht="14.25">
      <c r="C73" s="104" t="s">
        <v>114</v>
      </c>
      <c r="D73" s="99"/>
      <c r="E73" s="45">
        <f>H5</f>
        <v>12</v>
      </c>
      <c r="F73" s="99" t="s">
        <v>117</v>
      </c>
      <c r="G73" s="99"/>
      <c r="H73" s="42">
        <f>E40/E41</f>
        <v>1</v>
      </c>
      <c r="I73" s="99" t="s">
        <v>121</v>
      </c>
      <c r="J73" s="99"/>
      <c r="K73" s="49">
        <f>H73*(E73+H13)</f>
        <v>12.5</v>
      </c>
    </row>
    <row r="74" spans="3:11" ht="14.25">
      <c r="C74" s="104" t="s">
        <v>116</v>
      </c>
      <c r="D74" s="99"/>
      <c r="E74" s="44">
        <f>K73/(H72+K73)</f>
        <v>0.04565256136434689</v>
      </c>
      <c r="F74" s="100" t="s">
        <v>123</v>
      </c>
      <c r="G74" s="99"/>
      <c r="H74" s="43">
        <f>E10/E72/0.633</f>
        <v>0.04488008042510412</v>
      </c>
      <c r="I74" s="100" t="s">
        <v>124</v>
      </c>
      <c r="J74" s="99"/>
      <c r="K74" s="50">
        <f>H74*1000</f>
        <v>44.88008042510412</v>
      </c>
    </row>
    <row r="75" spans="3:11" ht="15" thickBot="1">
      <c r="C75" s="105"/>
      <c r="D75" s="96"/>
      <c r="E75" s="92"/>
      <c r="F75" s="95" t="s">
        <v>122</v>
      </c>
      <c r="G75" s="96"/>
      <c r="H75" s="93">
        <f>E10/E72/0.486</f>
        <v>0.058454919566030675</v>
      </c>
      <c r="I75" s="95" t="s">
        <v>125</v>
      </c>
      <c r="J75" s="96"/>
      <c r="K75" s="94">
        <f>H75*1000</f>
        <v>58.454919566030675</v>
      </c>
    </row>
    <row r="76" spans="3:7" ht="14.25">
      <c r="C76" s="101"/>
      <c r="D76" s="101"/>
      <c r="F76" s="101"/>
      <c r="G76" s="101"/>
    </row>
    <row r="77" spans="3:7" ht="14.25">
      <c r="C77" s="101"/>
      <c r="D77" s="101"/>
      <c r="F77" s="101"/>
      <c r="G77" s="101"/>
    </row>
    <row r="78" spans="3:7" ht="14.25">
      <c r="C78" s="101"/>
      <c r="D78" s="101"/>
      <c r="F78" s="102" t="s">
        <v>120</v>
      </c>
      <c r="G78" s="101"/>
    </row>
  </sheetData>
  <sheetProtection/>
  <mergeCells count="121">
    <mergeCell ref="A19:B19"/>
    <mergeCell ref="C20:D20"/>
    <mergeCell ref="C21:D21"/>
    <mergeCell ref="F21:G21"/>
    <mergeCell ref="I35:J35"/>
    <mergeCell ref="I36:J36"/>
    <mergeCell ref="I32:J32"/>
    <mergeCell ref="I33:J33"/>
    <mergeCell ref="I34:J34"/>
    <mergeCell ref="I25:J25"/>
    <mergeCell ref="A20:B20"/>
    <mergeCell ref="A51:J58"/>
    <mergeCell ref="I43:L43"/>
    <mergeCell ref="C33:D33"/>
    <mergeCell ref="F33:G33"/>
    <mergeCell ref="C30:D30"/>
    <mergeCell ref="I26:J26"/>
    <mergeCell ref="I28:J28"/>
    <mergeCell ref="I30:J30"/>
    <mergeCell ref="I31:J31"/>
    <mergeCell ref="B45:C45"/>
    <mergeCell ref="D45:E45"/>
    <mergeCell ref="F45:G45"/>
    <mergeCell ref="I40:L40"/>
    <mergeCell ref="I41:L41"/>
    <mergeCell ref="I42:L42"/>
    <mergeCell ref="I20:J20"/>
    <mergeCell ref="I21:J21"/>
    <mergeCell ref="I22:J22"/>
    <mergeCell ref="I23:J23"/>
    <mergeCell ref="I24:J24"/>
    <mergeCell ref="C14:J14"/>
    <mergeCell ref="C16:J16"/>
    <mergeCell ref="C17:J17"/>
    <mergeCell ref="C15:J15"/>
    <mergeCell ref="F24:G24"/>
    <mergeCell ref="I8:J8"/>
    <mergeCell ref="I10:J10"/>
    <mergeCell ref="I11:J11"/>
    <mergeCell ref="I13:J13"/>
    <mergeCell ref="I4:J4"/>
    <mergeCell ref="I5:J5"/>
    <mergeCell ref="I6:J6"/>
    <mergeCell ref="I7:J7"/>
    <mergeCell ref="I9:J9"/>
    <mergeCell ref="I12:J12"/>
    <mergeCell ref="F4:H4"/>
    <mergeCell ref="C5:D5"/>
    <mergeCell ref="C6:D6"/>
    <mergeCell ref="C8:D8"/>
    <mergeCell ref="C10:D10"/>
    <mergeCell ref="F8:G8"/>
    <mergeCell ref="F10:G10"/>
    <mergeCell ref="C1:H3"/>
    <mergeCell ref="F5:G5"/>
    <mergeCell ref="F6:G6"/>
    <mergeCell ref="C11:D11"/>
    <mergeCell ref="F11:G11"/>
    <mergeCell ref="C7:D7"/>
    <mergeCell ref="F7:G7"/>
    <mergeCell ref="F9:G9"/>
    <mergeCell ref="C9:D9"/>
    <mergeCell ref="C4:E4"/>
    <mergeCell ref="C12:D12"/>
    <mergeCell ref="F12:G12"/>
    <mergeCell ref="C19:H19"/>
    <mergeCell ref="C18:H18"/>
    <mergeCell ref="F20:G20"/>
    <mergeCell ref="F13:G13"/>
    <mergeCell ref="C13:D13"/>
    <mergeCell ref="C22:D22"/>
    <mergeCell ref="C23:D23"/>
    <mergeCell ref="F23:G23"/>
    <mergeCell ref="C24:D24"/>
    <mergeCell ref="C25:D25"/>
    <mergeCell ref="C26:D26"/>
    <mergeCell ref="F22:G22"/>
    <mergeCell ref="A28:B28"/>
    <mergeCell ref="F29:G29"/>
    <mergeCell ref="F30:G30"/>
    <mergeCell ref="C31:D31"/>
    <mergeCell ref="C34:D34"/>
    <mergeCell ref="F25:G25"/>
    <mergeCell ref="F26:G26"/>
    <mergeCell ref="B32:B33"/>
    <mergeCell ref="F34:G34"/>
    <mergeCell ref="C35:D35"/>
    <mergeCell ref="F35:G35"/>
    <mergeCell ref="A39:B39"/>
    <mergeCell ref="F43:G43"/>
    <mergeCell ref="F40:G40"/>
    <mergeCell ref="F41:G41"/>
    <mergeCell ref="F42:G42"/>
    <mergeCell ref="I37:J37"/>
    <mergeCell ref="F37:G37"/>
    <mergeCell ref="C37:D37"/>
    <mergeCell ref="I29:J29"/>
    <mergeCell ref="C36:D36"/>
    <mergeCell ref="C32:D32"/>
    <mergeCell ref="F32:G32"/>
    <mergeCell ref="F36:G36"/>
    <mergeCell ref="C29:D29"/>
    <mergeCell ref="F31:G31"/>
    <mergeCell ref="F77:G77"/>
    <mergeCell ref="F78:G78"/>
    <mergeCell ref="C72:D72"/>
    <mergeCell ref="C73:D73"/>
    <mergeCell ref="C74:D74"/>
    <mergeCell ref="C75:D75"/>
    <mergeCell ref="C76:D76"/>
    <mergeCell ref="C77:D77"/>
    <mergeCell ref="I75:J75"/>
    <mergeCell ref="I72:J72"/>
    <mergeCell ref="I73:J73"/>
    <mergeCell ref="I74:J74"/>
    <mergeCell ref="C78:D78"/>
    <mergeCell ref="F72:G72"/>
    <mergeCell ref="F73:G73"/>
    <mergeCell ref="F74:G74"/>
    <mergeCell ref="F75:G75"/>
    <mergeCell ref="F76:G76"/>
  </mergeCells>
  <printOptions horizontalCentered="1" verticalCentered="1"/>
  <pageMargins left="0.3937007874015748" right="0.3937007874015748" top="0.3937007874015748" bottom="0.3937007874015748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2010-11-23T08:18:29Z</cp:lastPrinted>
  <dcterms:created xsi:type="dcterms:W3CDTF">1996-12-17T01:32:42Z</dcterms:created>
  <dcterms:modified xsi:type="dcterms:W3CDTF">2013-12-26T01:58:57Z</dcterms:modified>
  <cp:category/>
  <cp:version/>
  <cp:contentType/>
  <cp:contentStatus/>
</cp:coreProperties>
</file>