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-漆包线数据速查表" sheetId="1" r:id="rId1"/>
    <sheet name="2-趋肤效应" sheetId="2" r:id="rId2"/>
    <sheet name="3-多股代单股" sheetId="3" r:id="rId3"/>
  </sheets>
  <definedNames/>
  <calcPr fullCalcOnLoad="1"/>
</workbook>
</file>

<file path=xl/sharedStrings.xml><?xml version="1.0" encoding="utf-8"?>
<sst xmlns="http://schemas.openxmlformats.org/spreadsheetml/2006/main" count="497" uniqueCount="264">
  <si>
    <t>3级</t>
  </si>
  <si>
    <t>2级</t>
  </si>
  <si>
    <t>1级</t>
  </si>
  <si>
    <t>标称直径</t>
  </si>
  <si>
    <t>标称值</t>
  </si>
  <si>
    <t>最小值</t>
  </si>
  <si>
    <t>最大值</t>
  </si>
  <si>
    <t>截面面积</t>
  </si>
  <si>
    <t>mm2</t>
  </si>
  <si>
    <t>相似美规</t>
  </si>
  <si>
    <t>相似英规</t>
  </si>
  <si>
    <t>AWG</t>
  </si>
  <si>
    <t>SWG</t>
  </si>
  <si>
    <t>Φn/mm</t>
  </si>
  <si>
    <t xml:space="preserve"> /</t>
  </si>
  <si>
    <r>
      <t>最大外径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Φmax/mm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</si>
  <si>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</si>
  <si>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1/0</t>
  </si>
  <si>
    <t>2/0</t>
  </si>
  <si>
    <t>4/0</t>
  </si>
  <si>
    <t xml:space="preserve"> /</t>
  </si>
  <si>
    <t>1/0</t>
  </si>
  <si>
    <t>2/0</t>
  </si>
  <si>
    <t>4/0</t>
  </si>
  <si>
    <t>5/0</t>
  </si>
  <si>
    <t>3/0</t>
  </si>
  <si>
    <t>卷线时的导线张力</t>
  </si>
  <si>
    <t>引張荷重</t>
  </si>
  <si>
    <t>安全張力</t>
  </si>
  <si>
    <t>最大張力</t>
  </si>
  <si>
    <t>（ｇ）</t>
  </si>
  <si>
    <t>max（ｇ）</t>
  </si>
  <si>
    <t>kg/km</t>
  </si>
  <si>
    <t>参考重量</t>
  </si>
  <si>
    <t>mm</t>
  </si>
  <si>
    <t>kg</t>
  </si>
  <si>
    <t>标称直径</t>
  </si>
  <si>
    <t>导线长度</t>
  </si>
  <si>
    <t>米 - m</t>
  </si>
  <si>
    <r>
      <t>3.0A/mm</t>
    </r>
    <r>
      <rPr>
        <vertAlign val="superscript"/>
        <sz val="10"/>
        <rFont val="Times New Roman"/>
        <family val="1"/>
      </rPr>
      <t>2</t>
    </r>
  </si>
  <si>
    <r>
      <t>4.0A/mm</t>
    </r>
    <r>
      <rPr>
        <vertAlign val="superscript"/>
        <sz val="10"/>
        <rFont val="Times New Roman"/>
        <family val="1"/>
      </rPr>
      <t>2</t>
    </r>
  </si>
  <si>
    <r>
      <t>2.0A/mm</t>
    </r>
    <r>
      <rPr>
        <vertAlign val="superscript"/>
        <sz val="10"/>
        <rFont val="Times New Roman"/>
        <family val="1"/>
      </rPr>
      <t>2</t>
    </r>
  </si>
  <si>
    <r>
      <t>6.0A/mm</t>
    </r>
    <r>
      <rPr>
        <vertAlign val="superscript"/>
        <sz val="10"/>
        <rFont val="Times New Roman"/>
        <family val="1"/>
      </rPr>
      <t>2</t>
    </r>
  </si>
  <si>
    <r>
      <t>7.0A/mm</t>
    </r>
    <r>
      <rPr>
        <vertAlign val="superscript"/>
        <sz val="10"/>
        <rFont val="Times New Roman"/>
        <family val="1"/>
      </rPr>
      <t>2</t>
    </r>
  </si>
  <si>
    <r>
      <t>7.5A/mm</t>
    </r>
    <r>
      <rPr>
        <vertAlign val="superscript"/>
        <sz val="10"/>
        <rFont val="Times New Roman"/>
        <family val="1"/>
      </rPr>
      <t>2</t>
    </r>
  </si>
  <si>
    <t>参考重量</t>
  </si>
  <si>
    <t>电阻 Ro：Ω/(20℃)</t>
  </si>
  <si>
    <t>最小值</t>
  </si>
  <si>
    <t>最大值</t>
  </si>
  <si>
    <t>1。基础数据：</t>
  </si>
  <si>
    <t>2。逻辑运算：</t>
  </si>
  <si>
    <t>**不要随意改动数据**</t>
  </si>
  <si>
    <r>
      <t>5.0A/mm</t>
    </r>
    <r>
      <rPr>
        <vertAlign val="superscript"/>
        <sz val="10"/>
        <rFont val="Times New Roman"/>
        <family val="1"/>
      </rPr>
      <t>2</t>
    </r>
  </si>
  <si>
    <t>（ｇ）</t>
  </si>
  <si>
    <r>
      <t>max(</t>
    </r>
    <r>
      <rPr>
        <sz val="9"/>
        <rFont val="宋体"/>
        <family val="0"/>
      </rPr>
      <t>ｇ)</t>
    </r>
  </si>
  <si>
    <t>查产品说明书</t>
  </si>
  <si>
    <t xml:space="preserve"> /</t>
  </si>
  <si>
    <t>直径表中是否列出</t>
  </si>
  <si>
    <t>截面面積</t>
  </si>
  <si>
    <t>相似美，英规格</t>
  </si>
  <si>
    <r>
      <t>最大外径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Φmax/mm</t>
    </r>
  </si>
  <si>
    <t>千米重量</t>
  </si>
  <si>
    <t>SWG</t>
  </si>
  <si>
    <t>1级</t>
  </si>
  <si>
    <t>2级</t>
  </si>
  <si>
    <t>3级</t>
  </si>
  <si>
    <t>标称值</t>
  </si>
  <si>
    <t>最小值</t>
  </si>
  <si>
    <t>最大值</t>
  </si>
  <si>
    <r>
      <t>电磁软铜圆线直径表--</t>
    </r>
    <r>
      <rPr>
        <sz val="9"/>
        <rFont val="宋体"/>
        <family val="0"/>
      </rPr>
      <t>红色数字无对应的AWG/SWG线号</t>
    </r>
  </si>
  <si>
    <r>
      <t>预选电流密度</t>
    </r>
    <r>
      <rPr>
        <sz val="10"/>
        <color indexed="8"/>
        <rFont val="Times New Roman"/>
        <family val="1"/>
      </rPr>
      <t xml:space="preserve"> J=</t>
    </r>
  </si>
  <si>
    <r>
      <t>导线载流电流</t>
    </r>
    <r>
      <rPr>
        <sz val="10"/>
        <color indexed="8"/>
        <rFont val="Times New Roman"/>
        <family val="1"/>
      </rPr>
      <t xml:space="preserve"> A=   </t>
    </r>
  </si>
  <si>
    <t>安全卷线張力</t>
  </si>
  <si>
    <t>最大卷线張力</t>
  </si>
  <si>
    <t>线径</t>
  </si>
  <si>
    <r>
      <t>mm</t>
    </r>
    <r>
      <rPr>
        <vertAlign val="superscript"/>
        <sz val="10"/>
        <rFont val="Times New Roman"/>
        <family val="1"/>
      </rPr>
      <t>2</t>
    </r>
  </si>
  <si>
    <t>截面面積-mm2</t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</si>
  <si>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</si>
  <si>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r>
      <t>每米电阻</t>
    </r>
    <r>
      <rPr>
        <sz val="10"/>
        <rFont val="Arial Narrow"/>
        <family val="2"/>
      </rPr>
      <t>Ro/Ω*m-1</t>
    </r>
  </si>
  <si>
    <t>kg/km</t>
  </si>
  <si>
    <t>千米重量-kg/km</t>
  </si>
  <si>
    <t>[1] 速查区</t>
  </si>
  <si>
    <t>12] 在表中没有列出的线径的参考数据</t>
  </si>
  <si>
    <t>建议：使用表前请参阅说明。</t>
  </si>
  <si>
    <t>1。</t>
  </si>
  <si>
    <t>2。</t>
  </si>
  <si>
    <t>3。</t>
  </si>
  <si>
    <t>4。</t>
  </si>
  <si>
    <t>本表所列各项数据尽量参考标准数据，但不是标准，仅供工程设计或速算时参考。</t>
  </si>
  <si>
    <t>表格使用说明：</t>
  </si>
  <si>
    <t>关于载流圆导线的温升</t>
  </si>
  <si>
    <t>dub-m</t>
  </si>
  <si>
    <t>05.10.08</t>
  </si>
  <si>
    <r>
      <t>1</t>
    </r>
    <r>
      <rPr>
        <sz val="12"/>
        <rFont val="宋体"/>
        <family val="0"/>
      </rPr>
      <t>。导线上电流的趋肤效应</t>
    </r>
  </si>
  <si>
    <r>
      <t xml:space="preserve">        </t>
    </r>
    <r>
      <rPr>
        <sz val="12"/>
        <rFont val="宋体"/>
        <family val="0"/>
      </rPr>
      <t>当电流在导体上流动时，由于电流产生的电磁场力对电荷的推斥作用，电荷将趋向于在导体</t>
    </r>
  </si>
  <si>
    <t>的表层流动；这种现象称之为电流的趋肤效应。</t>
  </si>
  <si>
    <r>
      <t xml:space="preserve">        </t>
    </r>
    <r>
      <rPr>
        <sz val="12"/>
        <rFont val="宋体"/>
        <family val="0"/>
      </rPr>
      <t>电流的趋肤效应和电流的频率有关，电流频率越高，电荷就越向导体表层集中；电荷在导体</t>
    </r>
  </si>
  <si>
    <r>
      <t>表层下集聚的深度，称为趋肤深度。</t>
    </r>
    <r>
      <rPr>
        <sz val="12"/>
        <rFont val="Times New Roman"/>
        <family val="1"/>
      </rPr>
      <t xml:space="preserve">    </t>
    </r>
  </si>
  <si>
    <r>
      <t xml:space="preserve">        </t>
    </r>
    <r>
      <rPr>
        <sz val="12"/>
        <rFont val="宋体"/>
        <family val="0"/>
      </rPr>
      <t>一般情况下，可以用下式概算电流在圆导线中的趋肤深度：</t>
    </r>
  </si>
  <si>
    <r>
      <t>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</si>
  <si>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t>cm</t>
  </si>
  <si>
    <t>式中：</t>
  </si>
  <si>
    <t>式中：</t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</si>
  <si>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</si>
  <si>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电流趋肤效应深度</t>
    </r>
    <r>
      <rPr>
        <sz val="10"/>
        <rFont val="Arial"/>
        <family val="2"/>
      </rPr>
      <t xml:space="preserve">    cm</t>
    </r>
  </si>
  <si>
    <t xml:space="preserve">f </t>
  </si>
  <si>
    <r>
      <t xml:space="preserve">  </t>
    </r>
    <r>
      <rPr>
        <sz val="10"/>
        <rFont val="宋体"/>
        <family val="0"/>
      </rPr>
      <t>电流频率</t>
    </r>
    <r>
      <rPr>
        <sz val="10"/>
        <rFont val="Arial"/>
        <family val="2"/>
      </rPr>
      <t xml:space="preserve">  Hz</t>
    </r>
  </si>
  <si>
    <r>
      <t xml:space="preserve">        </t>
    </r>
    <r>
      <rPr>
        <sz val="12"/>
        <rFont val="宋体"/>
        <family val="0"/>
      </rPr>
      <t>当趋肤深度大于导线的半径时，对导线的电阻没有实际的影响；但趋肤深度小于导线半径时，</t>
    </r>
  </si>
  <si>
    <t>导线的有效载流面积就会减小：</t>
  </si>
  <si>
    <r>
      <t>S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</si>
  <si>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r>
      <t>π</t>
    </r>
    <r>
      <rPr>
        <b/>
        <sz val="10"/>
        <rFont val="Arial"/>
        <family val="2"/>
      </rPr>
      <t>x</t>
    </r>
    <r>
      <rPr>
        <b/>
        <sz val="12"/>
        <rFont val="Arial"/>
        <family val="2"/>
      </rPr>
      <t xml:space="preserve"> ( r </t>
    </r>
    <r>
      <rPr>
        <b/>
        <vertAlign val="superscript"/>
        <sz val="11"/>
        <rFont val="宋体"/>
        <family val="0"/>
      </rPr>
      <t>2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- ( r - </t>
    </r>
    <r>
      <rPr>
        <b/>
        <sz val="11"/>
        <rFont val="Arial"/>
        <family val="2"/>
      </rPr>
      <t>10</t>
    </r>
    <r>
      <rPr>
        <b/>
        <sz val="12"/>
        <rFont val="Arial"/>
        <family val="2"/>
      </rPr>
      <t>xd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) 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)</t>
    </r>
  </si>
  <si>
    <r>
      <t>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</si>
  <si>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考虑趋肤效应时导线的有效载流面积</t>
    </r>
    <r>
      <rPr>
        <sz val="10"/>
        <rFont val="Arial"/>
        <family val="2"/>
      </rPr>
      <t xml:space="preserve">   mm</t>
    </r>
    <r>
      <rPr>
        <vertAlign val="superscript"/>
        <sz val="10"/>
        <rFont val="Arial"/>
        <family val="2"/>
      </rPr>
      <t>2</t>
    </r>
  </si>
  <si>
    <t>r</t>
  </si>
  <si>
    <r>
      <t xml:space="preserve">  </t>
    </r>
    <r>
      <rPr>
        <sz val="10"/>
        <rFont val="宋体"/>
        <family val="0"/>
      </rPr>
      <t>导线的半径</t>
    </r>
    <r>
      <rPr>
        <sz val="10"/>
        <rFont val="Arial"/>
        <family val="2"/>
      </rPr>
      <t xml:space="preserve">   mm</t>
    </r>
  </si>
  <si>
    <r>
      <t xml:space="preserve">        </t>
    </r>
    <r>
      <rPr>
        <sz val="12"/>
        <rFont val="宋体"/>
        <family val="0"/>
      </rPr>
      <t>电流的趋肤效应导致的导线实际有效载流面积的减小，其对电流的电阻也相应的增大：</t>
    </r>
  </si>
  <si>
    <r>
      <t>R</t>
    </r>
    <r>
      <rPr>
        <b/>
        <vertAlign val="subscript"/>
        <sz val="12"/>
        <rFont val="Arial"/>
        <family val="2"/>
      </rPr>
      <t xml:space="preserve">f </t>
    </r>
    <r>
      <rPr>
        <b/>
        <sz val="12"/>
        <rFont val="Arial"/>
        <family val="2"/>
      </rPr>
      <t xml:space="preserve">= </t>
    </r>
  </si>
  <si>
    <r>
      <t xml:space="preserve"> </t>
    </r>
    <r>
      <rPr>
        <b/>
        <sz val="12"/>
        <rFont val="宋体"/>
        <family val="0"/>
      </rPr>
      <t>≈</t>
    </r>
  </si>
  <si>
    <r>
      <t>R</t>
    </r>
    <r>
      <rPr>
        <vertAlign val="subscript"/>
        <sz val="10"/>
        <rFont val="Arial"/>
        <family val="2"/>
      </rPr>
      <t>f</t>
    </r>
  </si>
  <si>
    <r>
      <t xml:space="preserve">  </t>
    </r>
    <r>
      <rPr>
        <sz val="10"/>
        <rFont val="宋体"/>
        <family val="0"/>
      </rPr>
      <t>考虑趋肤效应后的导线电阻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Ω</t>
    </r>
  </si>
  <si>
    <t>ρ</t>
  </si>
  <si>
    <r>
      <t xml:space="preserve">  </t>
    </r>
    <r>
      <rPr>
        <sz val="10"/>
        <rFont val="宋体"/>
        <family val="0"/>
      </rPr>
      <t>电工用纯铜导线的电阻系数</t>
    </r>
    <r>
      <rPr>
        <sz val="10"/>
        <rFont val="Arial"/>
        <family val="2"/>
      </rPr>
      <t xml:space="preserve">  </t>
    </r>
    <r>
      <rPr>
        <sz val="12"/>
        <rFont val="宋体"/>
        <family val="0"/>
      </rPr>
      <t>ρ</t>
    </r>
    <r>
      <rPr>
        <sz val="10"/>
        <rFont val="Arial"/>
        <family val="2"/>
      </rPr>
      <t xml:space="preserve">=0.01749 </t>
    </r>
    <r>
      <rPr>
        <sz val="10"/>
        <rFont val="宋体"/>
        <family val="0"/>
      </rPr>
      <t>Ω</t>
    </r>
    <r>
      <rPr>
        <sz val="10"/>
        <rFont val="Arial"/>
        <family val="2"/>
      </rPr>
      <t>.m /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(at20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</si>
  <si>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>L</t>
  </si>
  <si>
    <r>
      <t xml:space="preserve">  </t>
    </r>
    <r>
      <rPr>
        <sz val="10"/>
        <rFont val="宋体"/>
        <family val="0"/>
      </rPr>
      <t>导线的长度</t>
    </r>
    <r>
      <rPr>
        <sz val="10"/>
        <rFont val="Arial"/>
        <family val="2"/>
      </rPr>
      <t xml:space="preserve">  m</t>
    </r>
  </si>
  <si>
    <t xml:space="preserve">r </t>
  </si>
  <si>
    <r>
      <t xml:space="preserve">  </t>
    </r>
    <r>
      <rPr>
        <sz val="10"/>
        <rFont val="宋体"/>
        <family val="0"/>
      </rPr>
      <t>圆纯铜导线的半径</t>
    </r>
    <r>
      <rPr>
        <sz val="10"/>
        <rFont val="Arial"/>
        <family val="2"/>
      </rPr>
      <t xml:space="preserve">  mm</t>
    </r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</si>
  <si>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  </t>
    </r>
  </si>
  <si>
    <r>
      <t xml:space="preserve">  </t>
    </r>
    <r>
      <rPr>
        <sz val="11"/>
        <rFont val="宋体"/>
        <family val="0"/>
      </rPr>
      <t>电流趋肤效应深度</t>
    </r>
    <r>
      <rPr>
        <sz val="11"/>
        <rFont val="Arial"/>
        <family val="2"/>
      </rPr>
      <t xml:space="preserve">    cm</t>
    </r>
  </si>
  <si>
    <r>
      <t xml:space="preserve">  </t>
    </r>
    <r>
      <rPr>
        <sz val="11"/>
        <rFont val="宋体"/>
        <family val="0"/>
      </rPr>
      <t>电流频率</t>
    </r>
    <r>
      <rPr>
        <sz val="11"/>
        <rFont val="Arial"/>
        <family val="2"/>
      </rPr>
      <t xml:space="preserve">  Hz</t>
    </r>
  </si>
  <si>
    <r>
      <t>R</t>
    </r>
    <r>
      <rPr>
        <vertAlign val="subscript"/>
        <sz val="11"/>
        <rFont val="Arial"/>
        <family val="2"/>
      </rPr>
      <t>f</t>
    </r>
  </si>
  <si>
    <r>
      <t xml:space="preserve">  </t>
    </r>
    <r>
      <rPr>
        <sz val="11"/>
        <rFont val="宋体"/>
        <family val="0"/>
      </rPr>
      <t>考虑趋肤效应后的导线电阻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Ω</t>
    </r>
  </si>
  <si>
    <r>
      <t xml:space="preserve">     </t>
    </r>
    <r>
      <rPr>
        <b/>
        <sz val="12"/>
        <rFont val="宋体"/>
        <family val="0"/>
      </rPr>
      <t>自动计算（结果供参考）：</t>
    </r>
  </si>
  <si>
    <t>导线直径：</t>
  </si>
  <si>
    <t>D =</t>
  </si>
  <si>
    <t>mm</t>
  </si>
  <si>
    <t>N =</t>
  </si>
  <si>
    <t>p</t>
  </si>
  <si>
    <t>导线长度：</t>
  </si>
  <si>
    <t>L =</t>
  </si>
  <si>
    <t xml:space="preserve">m </t>
  </si>
  <si>
    <t>电流频率：</t>
  </si>
  <si>
    <t>kHz</t>
  </si>
  <si>
    <t>通过电流：</t>
  </si>
  <si>
    <t>A</t>
  </si>
  <si>
    <t>导线截面面积：</t>
  </si>
  <si>
    <t>So=</t>
  </si>
  <si>
    <r>
      <t>mm</t>
    </r>
    <r>
      <rPr>
        <vertAlign val="superscript"/>
        <sz val="11"/>
        <color indexed="56"/>
        <rFont val="Arial"/>
        <family val="2"/>
      </rPr>
      <t>2</t>
    </r>
  </si>
  <si>
    <r>
      <t xml:space="preserve">  </t>
    </r>
    <r>
      <rPr>
        <sz val="11"/>
        <rFont val="宋体"/>
        <family val="0"/>
      </rPr>
      <t>电流趋肤效应深度：</t>
    </r>
  </si>
  <si>
    <t>导线实效载流面积：</t>
  </si>
  <si>
    <t xml:space="preserve">  20℃时导线直流电阻：</t>
  </si>
  <si>
    <t>Rd =</t>
  </si>
  <si>
    <r>
      <t xml:space="preserve"> </t>
    </r>
    <r>
      <rPr>
        <sz val="11"/>
        <color indexed="56"/>
        <rFont val="宋体"/>
        <family val="0"/>
      </rPr>
      <t>Ω</t>
    </r>
  </si>
  <si>
    <t>考虑趋肤效应后的导线电阻：</t>
  </si>
  <si>
    <r>
      <t>A/mm</t>
    </r>
    <r>
      <rPr>
        <vertAlign val="superscript"/>
        <sz val="11"/>
        <color indexed="56"/>
        <rFont val="Arial"/>
        <family val="2"/>
      </rPr>
      <t>2</t>
    </r>
  </si>
  <si>
    <t>VA</t>
  </si>
  <si>
    <t>Pfc=</t>
  </si>
  <si>
    <t>导线的散热面积：</t>
  </si>
  <si>
    <r>
      <t>S</t>
    </r>
    <r>
      <rPr>
        <vertAlign val="subscript"/>
        <sz val="11"/>
        <rFont val="Arial"/>
        <family val="2"/>
      </rPr>
      <t>E</t>
    </r>
    <r>
      <rPr>
        <sz val="11"/>
        <rFont val="Arial"/>
        <family val="2"/>
      </rPr>
      <t>=</t>
    </r>
  </si>
  <si>
    <r>
      <t>cm</t>
    </r>
    <r>
      <rPr>
        <vertAlign val="superscript"/>
        <sz val="11"/>
        <color indexed="56"/>
        <rFont val="Arial"/>
        <family val="2"/>
      </rPr>
      <t>2</t>
    </r>
  </si>
  <si>
    <t>单位表面积需要耗散的功率：</t>
  </si>
  <si>
    <t>Wp=</t>
  </si>
  <si>
    <r>
      <t>VA/cm</t>
    </r>
    <r>
      <rPr>
        <vertAlign val="superscript"/>
        <sz val="11"/>
        <color indexed="56"/>
        <rFont val="Arial"/>
        <family val="2"/>
      </rPr>
      <t>2</t>
    </r>
  </si>
  <si>
    <t>导线表面的估计温升：</t>
  </si>
  <si>
    <r>
      <t>Δ</t>
    </r>
    <r>
      <rPr>
        <sz val="11"/>
        <rFont val="Arial Narrow"/>
        <family val="2"/>
      </rPr>
      <t>t =</t>
    </r>
  </si>
  <si>
    <t>℃</t>
  </si>
  <si>
    <t>导线表面的估计温度：</t>
  </si>
  <si>
    <r>
      <t>在</t>
    </r>
    <r>
      <rPr>
        <sz val="10"/>
        <color indexed="10"/>
        <rFont val="Arial"/>
        <family val="2"/>
      </rPr>
      <t>20</t>
    </r>
    <r>
      <rPr>
        <sz val="10"/>
        <color indexed="10"/>
        <rFont val="宋体"/>
        <family val="0"/>
      </rPr>
      <t>℃的无风空间</t>
    </r>
  </si>
  <si>
    <t>Tc=</t>
  </si>
  <si>
    <r>
      <t>在</t>
    </r>
    <r>
      <rPr>
        <sz val="10"/>
        <color indexed="10"/>
        <rFont val="Times New Roman"/>
        <family val="1"/>
      </rPr>
      <t>40</t>
    </r>
    <r>
      <rPr>
        <sz val="10"/>
        <color indexed="10"/>
        <rFont val="宋体"/>
        <family val="0"/>
      </rPr>
      <t>℃的无风空间</t>
    </r>
  </si>
  <si>
    <r>
      <t xml:space="preserve"> </t>
    </r>
    <r>
      <rPr>
        <sz val="11"/>
        <rFont val="宋体"/>
        <family val="0"/>
      </rPr>
      <t>Ω</t>
    </r>
  </si>
  <si>
    <r>
      <t>1</t>
    </r>
    <r>
      <rPr>
        <b/>
        <sz val="11"/>
        <rFont val="宋体"/>
        <family val="0"/>
      </rPr>
      <t>。单根导线：</t>
    </r>
  </si>
  <si>
    <t>导线直径：</t>
  </si>
  <si>
    <t>D =</t>
  </si>
  <si>
    <t>mm</t>
  </si>
  <si>
    <t>导线长度：</t>
  </si>
  <si>
    <t>L =</t>
  </si>
  <si>
    <t xml:space="preserve">m </t>
  </si>
  <si>
    <t>电流频率：</t>
  </si>
  <si>
    <t>f =</t>
  </si>
  <si>
    <t>kHz</t>
  </si>
  <si>
    <r>
      <t xml:space="preserve">  </t>
    </r>
    <r>
      <rPr>
        <sz val="11"/>
        <rFont val="宋体"/>
        <family val="0"/>
      </rPr>
      <t>电流趋肤效应深度：</t>
    </r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</si>
  <si>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>=</t>
    </r>
  </si>
  <si>
    <t xml:space="preserve">  20℃时导线直流电阻：</t>
  </si>
  <si>
    <t>Rd =</t>
  </si>
  <si>
    <r>
      <t xml:space="preserve"> </t>
    </r>
    <r>
      <rPr>
        <sz val="11"/>
        <rFont val="宋体"/>
        <family val="0"/>
      </rPr>
      <t>Ω</t>
    </r>
  </si>
  <si>
    <t xml:space="preserve">  考虑趋肤效应后的导线电阻：</t>
  </si>
  <si>
    <r>
      <t>R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=</t>
    </r>
  </si>
  <si>
    <r>
      <t>2</t>
    </r>
    <r>
      <rPr>
        <b/>
        <sz val="11"/>
        <rFont val="宋体"/>
        <family val="0"/>
      </rPr>
      <t>。将单根导线用相等截面积的多股绞合线代替后，可降低导线的高频趋肤效应电阻：</t>
    </r>
  </si>
  <si>
    <t>原导线直径</t>
  </si>
  <si>
    <t xml:space="preserve"> D--mm</t>
  </si>
  <si>
    <t>和原导线面积相同时分成的股数</t>
  </si>
  <si>
    <t>每股线的面积：</t>
  </si>
  <si>
    <r>
      <t xml:space="preserve"> mm</t>
    </r>
    <r>
      <rPr>
        <vertAlign val="superscript"/>
        <sz val="11"/>
        <rFont val="Times New Roman"/>
        <family val="1"/>
      </rPr>
      <t>2</t>
    </r>
  </si>
  <si>
    <t>每股线的直径：</t>
  </si>
  <si>
    <t xml:space="preserve"> d--mm</t>
  </si>
  <si>
    <t>每股线的长度：</t>
  </si>
  <si>
    <t xml:space="preserve"> m</t>
  </si>
  <si>
    <t xml:space="preserve"> kHz</t>
  </si>
  <si>
    <t>每股线的直流电阻：</t>
  </si>
  <si>
    <t>绞合后的直流电阻：</t>
  </si>
  <si>
    <t>每股线的高频电阻：</t>
  </si>
  <si>
    <t>绞合后的高频电阻：</t>
  </si>
  <si>
    <r>
      <t>绞合后高频电阻降低率：</t>
    </r>
    <r>
      <rPr>
        <sz val="11"/>
        <rFont val="Times New Roman"/>
        <family val="1"/>
      </rPr>
      <t xml:space="preserve">    %</t>
    </r>
  </si>
  <si>
    <r>
      <t>3</t>
    </r>
    <r>
      <rPr>
        <b/>
        <sz val="11"/>
        <rFont val="宋体"/>
        <family val="0"/>
      </rPr>
      <t>。举例：</t>
    </r>
  </si>
  <si>
    <r>
      <t xml:space="preserve">       </t>
    </r>
    <r>
      <rPr>
        <sz val="11"/>
        <rFont val="宋体"/>
        <family val="0"/>
      </rPr>
      <t>直径</t>
    </r>
    <r>
      <rPr>
        <sz val="11"/>
        <rFont val="Times New Roman"/>
        <family val="1"/>
      </rPr>
      <t>1.3mm</t>
    </r>
    <r>
      <rPr>
        <sz val="11"/>
        <rFont val="宋体"/>
        <family val="0"/>
      </rPr>
      <t>；长度</t>
    </r>
    <r>
      <rPr>
        <sz val="11"/>
        <rFont val="Times New Roman"/>
        <family val="1"/>
      </rPr>
      <t>2m</t>
    </r>
    <r>
      <rPr>
        <sz val="11"/>
        <rFont val="宋体"/>
        <family val="0"/>
      </rPr>
      <t>的漆包铜线，直流电阻</t>
    </r>
    <r>
      <rPr>
        <sz val="11"/>
        <rFont val="Times New Roman"/>
        <family val="1"/>
      </rPr>
      <t>0.0264</t>
    </r>
    <r>
      <rPr>
        <sz val="11"/>
        <rFont val="宋体"/>
        <family val="0"/>
      </rPr>
      <t>Ω，如果通以</t>
    </r>
    <r>
      <rPr>
        <sz val="11"/>
        <rFont val="Times New Roman"/>
        <family val="1"/>
      </rPr>
      <t>200kHz</t>
    </r>
    <r>
      <rPr>
        <sz val="11"/>
        <rFont val="宋体"/>
        <family val="0"/>
      </rPr>
      <t>的高频电流时，</t>
    </r>
  </si>
  <si>
    <r>
      <t>高频趋肤电阻是</t>
    </r>
    <r>
      <rPr>
        <sz val="11"/>
        <rFont val="Times New Roman"/>
        <family val="1"/>
      </rPr>
      <t>0.0654</t>
    </r>
    <r>
      <rPr>
        <sz val="11"/>
        <rFont val="宋体"/>
        <family val="0"/>
      </rPr>
      <t>Ω；如果换成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根直径</t>
    </r>
    <r>
      <rPr>
        <sz val="11"/>
        <rFont val="Times New Roman"/>
        <family val="1"/>
      </rPr>
      <t>0.75mm</t>
    </r>
    <r>
      <rPr>
        <sz val="11"/>
        <rFont val="宋体"/>
        <family val="0"/>
      </rPr>
      <t>的漆包线，总的导线截面积不变，直</t>
    </r>
  </si>
  <si>
    <r>
      <t>流电阻不变，但高频趋肤电阻由</t>
    </r>
    <r>
      <rPr>
        <sz val="11"/>
        <rFont val="Times New Roman"/>
        <family val="1"/>
      </rPr>
      <t xml:space="preserve"> 0.0654</t>
    </r>
    <r>
      <rPr>
        <sz val="11"/>
        <rFont val="宋体"/>
        <family val="0"/>
      </rPr>
      <t>Ω减小到</t>
    </r>
    <r>
      <rPr>
        <sz val="11"/>
        <rFont val="Times New Roman"/>
        <family val="1"/>
      </rPr>
      <t xml:space="preserve"> 0.0417</t>
    </r>
    <r>
      <rPr>
        <sz val="11"/>
        <rFont val="宋体"/>
        <family val="0"/>
      </rPr>
      <t>Ω，减小了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，相当于功耗比</t>
    </r>
  </si>
  <si>
    <r>
      <t>单根漆包线也降低了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。</t>
    </r>
  </si>
  <si>
    <t>用多股线代替单股线：</t>
  </si>
  <si>
    <t>在速查区黄色框内写入要查找的线的线径_mm；导线长度框内写入线的长度；在速查区将自动列出有关的各项参数或数据。</t>
  </si>
  <si>
    <t>如果要查的线径不在列表内，则将其简要的数据列出在[2]和[3]的表内以供参考。</t>
  </si>
  <si>
    <t>作成：</t>
  </si>
  <si>
    <t>时间：</t>
  </si>
  <si>
    <t xml:space="preserve"> 2006-9-30</t>
  </si>
  <si>
    <t xml:space="preserve"> Du bao-m</t>
  </si>
  <si>
    <t>[1]速查区</t>
  </si>
  <si>
    <t>[2]参考区</t>
  </si>
  <si>
    <t>电流  Amax</t>
  </si>
  <si>
    <r>
      <t>电流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Amax</t>
    </r>
  </si>
  <si>
    <r>
      <t>电流密度J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</si>
  <si>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r>
      <t>电流密度</t>
    </r>
    <r>
      <rPr>
        <sz val="9"/>
        <rFont val="Arial Narrow"/>
        <family val="2"/>
      </rPr>
      <t>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</si>
  <si>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r>
      <t>导线表面</t>
    </r>
    <r>
      <rPr>
        <b/>
        <i/>
        <sz val="10"/>
        <rFont val="宋体"/>
        <family val="0"/>
      </rPr>
      <t>温升 Δt/℃</t>
    </r>
  </si>
  <si>
    <t>电流会使导线发热，表[3]所列是导线在无风空间中，表面限定不同温升时计算的对应电流；供有关设计时参考。</t>
  </si>
  <si>
    <r>
      <t>[3] 在常温无风空间,漆包线表面的允许温升对应的</t>
    </r>
    <r>
      <rPr>
        <b/>
        <sz val="10"/>
        <color indexed="10"/>
        <rFont val="宋体"/>
        <family val="0"/>
      </rPr>
      <t>最大电流(不考虑趋肤效应):</t>
    </r>
  </si>
  <si>
    <t>电 磁 软 铜 圆 漆 包 线 参 数 速 查 表</t>
  </si>
  <si>
    <t>I1 =</t>
  </si>
  <si>
    <t>I2 =</t>
  </si>
  <si>
    <t>f 2 =</t>
  </si>
  <si>
    <t>f 1 =</t>
  </si>
  <si>
    <r>
      <t>d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</si>
  <si>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d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</si>
  <si>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r>
      <t>S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</si>
  <si>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S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</si>
  <si>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r>
      <t>R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 xml:space="preserve"> =</t>
    </r>
  </si>
  <si>
    <r>
      <t>R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 xml:space="preserve"> =</t>
    </r>
  </si>
  <si>
    <t>载流密度：</t>
  </si>
  <si>
    <t>Jf1=</t>
  </si>
  <si>
    <t>Jf2=</t>
  </si>
  <si>
    <t>铜损：</t>
  </si>
  <si>
    <t>Pf1=</t>
  </si>
  <si>
    <t>Pf2=</t>
  </si>
  <si>
    <t>f1 =</t>
  </si>
  <si>
    <t>总铜损：</t>
  </si>
  <si>
    <t>本表的使用方法：</t>
  </si>
  <si>
    <r>
      <t>注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</si>
  <si>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r>
      <t>注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：</t>
    </r>
  </si>
  <si>
    <r>
      <t>本表按两种频率的电流流过导线时的情况考虑；电流的频率不能为零（直流时输入</t>
    </r>
    <r>
      <rPr>
        <sz val="11"/>
        <rFont val="Times New Roman"/>
        <family val="1"/>
      </rPr>
      <t>0.001Hz</t>
    </r>
    <r>
      <rPr>
        <sz val="11"/>
        <rFont val="宋体"/>
        <family val="0"/>
      </rPr>
      <t>）。</t>
    </r>
  </si>
  <si>
    <r>
      <t xml:space="preserve">      </t>
    </r>
    <r>
      <rPr>
        <sz val="11"/>
        <rFont val="宋体"/>
        <family val="0"/>
      </rPr>
      <t>如果要计算单根</t>
    </r>
    <r>
      <rPr>
        <sz val="11"/>
        <rFont val="Times New Roman"/>
        <family val="1"/>
      </rPr>
      <t>2.00</t>
    </r>
    <r>
      <rPr>
        <sz val="11"/>
        <rFont val="宋体"/>
        <family val="0"/>
      </rPr>
      <t>φ的漆包线上同时有低频（或直流）</t>
    </r>
    <r>
      <rPr>
        <sz val="11"/>
        <rFont val="Times New Roman"/>
        <family val="1"/>
      </rPr>
      <t>20.0A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200kHz/4.0A</t>
    </r>
    <r>
      <rPr>
        <sz val="11"/>
        <rFont val="宋体"/>
        <family val="0"/>
      </rPr>
      <t>的电流流过时，空间导</t>
    </r>
  </si>
  <si>
    <t>电流频率：</t>
  </si>
  <si>
    <r>
      <t xml:space="preserve">      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的温升情况时，在计算表上输入导线直径：</t>
    </r>
    <r>
      <rPr>
        <sz val="11"/>
        <rFont val="Times New Roman"/>
        <family val="1"/>
      </rPr>
      <t>2.0</t>
    </r>
    <r>
      <rPr>
        <sz val="11"/>
        <rFont val="宋体"/>
        <family val="0"/>
      </rPr>
      <t>；导线股数：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；电流频率</t>
    </r>
    <r>
      <rPr>
        <sz val="11"/>
        <rFont val="Times New Roman"/>
        <family val="1"/>
      </rPr>
      <t>f1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0.001</t>
    </r>
    <r>
      <rPr>
        <sz val="11"/>
        <rFont val="宋体"/>
        <family val="0"/>
      </rPr>
      <t>，电流</t>
    </r>
    <r>
      <rPr>
        <sz val="11"/>
        <rFont val="Times New Roman"/>
        <family val="1"/>
      </rPr>
      <t>I1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20A</t>
    </r>
    <r>
      <rPr>
        <sz val="11"/>
        <rFont val="宋体"/>
        <family val="0"/>
      </rPr>
      <t>；</t>
    </r>
  </si>
  <si>
    <r>
      <t xml:space="preserve">      </t>
    </r>
    <r>
      <rPr>
        <sz val="11"/>
        <rFont val="宋体"/>
        <family val="0"/>
      </rPr>
      <t>频率f2:200,电流I2:4.0A；导线长度L：不为0的任意值；以下将会自动给出有关的计算结果。</t>
    </r>
  </si>
  <si>
    <t>导线股数：</t>
  </si>
  <si>
    <t>本表的计算结果也可以用来选择磁环穿线电感的线径，如果线径过大时可以利用多股较细的</t>
  </si>
  <si>
    <r>
      <t xml:space="preserve">      </t>
    </r>
    <r>
      <rPr>
        <sz val="11"/>
        <rFont val="宋体"/>
        <family val="0"/>
      </rPr>
      <t>例如：通过低频</t>
    </r>
    <r>
      <rPr>
        <sz val="11"/>
        <rFont val="Times New Roman"/>
        <family val="1"/>
      </rPr>
      <t>21.0A</t>
    </r>
    <r>
      <rPr>
        <sz val="11"/>
        <rFont val="宋体"/>
        <family val="0"/>
      </rPr>
      <t>电流的磁环电感，选用</t>
    </r>
    <r>
      <rPr>
        <sz val="11"/>
        <rFont val="Times New Roman"/>
        <family val="1"/>
      </rPr>
      <t>QA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>UEW</t>
    </r>
    <r>
      <rPr>
        <sz val="11"/>
        <rFont val="宋体"/>
        <family val="0"/>
      </rPr>
      <t>线种，以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℃为安全表面温升时，应选用</t>
    </r>
  </si>
  <si>
    <r>
      <t xml:space="preserve">      </t>
    </r>
    <r>
      <rPr>
        <sz val="11"/>
        <rFont val="宋体"/>
        <family val="0"/>
      </rPr>
      <t>线代替；在表中改变输入的线径和股数，温升应单根相近；或利用</t>
    </r>
    <r>
      <rPr>
        <sz val="11"/>
        <rFont val="Times New Roman"/>
        <family val="1"/>
      </rPr>
      <t>3-</t>
    </r>
    <r>
      <rPr>
        <sz val="11"/>
        <rFont val="宋体"/>
        <family val="0"/>
      </rPr>
      <t>表计算。</t>
    </r>
  </si>
  <si>
    <r>
      <t xml:space="preserve">    2.00</t>
    </r>
    <r>
      <rPr>
        <sz val="11"/>
        <rFont val="宋体"/>
        <family val="0"/>
      </rPr>
      <t>φ的漆包线；或者用</t>
    </r>
    <r>
      <rPr>
        <sz val="11"/>
        <rFont val="Times New Roman"/>
        <family val="1"/>
      </rPr>
      <t xml:space="preserve">3 </t>
    </r>
    <r>
      <rPr>
        <sz val="11"/>
        <rFont val="宋体"/>
        <family val="0"/>
      </rPr>
      <t>根</t>
    </r>
    <r>
      <rPr>
        <sz val="11"/>
        <rFont val="Times New Roman"/>
        <family val="1"/>
      </rPr>
      <t>1.00</t>
    </r>
    <r>
      <rPr>
        <sz val="11"/>
        <rFont val="宋体"/>
        <family val="0"/>
      </rPr>
      <t>φ的漆包线并绕（表面温升约</t>
    </r>
    <r>
      <rPr>
        <sz val="11"/>
        <rFont val="Times New Roman"/>
        <family val="1"/>
      </rPr>
      <t>27.2</t>
    </r>
    <r>
      <rPr>
        <sz val="11"/>
        <rFont val="宋体"/>
        <family val="0"/>
      </rPr>
      <t>℃）。</t>
    </r>
  </si>
  <si>
    <t>本表的应用：</t>
  </si>
  <si>
    <r>
      <t>1</t>
    </r>
    <r>
      <rPr>
        <sz val="11"/>
        <rFont val="宋体"/>
        <family val="0"/>
      </rPr>
      <t>。</t>
    </r>
  </si>
  <si>
    <r>
      <t>2</t>
    </r>
    <r>
      <rPr>
        <sz val="11"/>
        <rFont val="宋体"/>
        <family val="0"/>
      </rPr>
      <t>。</t>
    </r>
  </si>
  <si>
    <t>本表也可以用来计算给定线径的导线的截面积，给定长度的电阻，给定电流的铜损等。</t>
  </si>
  <si>
    <r>
      <t xml:space="preserve"> </t>
    </r>
    <r>
      <rPr>
        <sz val="11"/>
        <color indexed="56"/>
        <rFont val="宋体"/>
        <family val="0"/>
      </rPr>
      <t>Ω</t>
    </r>
  </si>
  <si>
    <r>
      <t xml:space="preserve">      </t>
    </r>
    <r>
      <rPr>
        <sz val="11"/>
        <rFont val="宋体"/>
        <family val="0"/>
      </rPr>
      <t>电阻</t>
    </r>
    <r>
      <rPr>
        <sz val="11"/>
        <rFont val="Times New Roman"/>
        <family val="1"/>
      </rPr>
      <t>0.0557</t>
    </r>
    <r>
      <rPr>
        <sz val="11"/>
        <rFont val="宋体"/>
        <family val="0"/>
      </rPr>
      <t>Ω，铜损</t>
    </r>
    <r>
      <rPr>
        <sz val="11"/>
        <rFont val="Times New Roman"/>
        <family val="1"/>
      </rPr>
      <t>1.393W</t>
    </r>
    <r>
      <rPr>
        <sz val="11"/>
        <rFont val="宋体"/>
        <family val="0"/>
      </rPr>
      <t>。</t>
    </r>
  </si>
  <si>
    <r>
      <t xml:space="preserve">      </t>
    </r>
    <r>
      <rPr>
        <sz val="11"/>
        <rFont val="宋体"/>
        <family val="0"/>
      </rPr>
      <t>例如：线径</t>
    </r>
    <r>
      <rPr>
        <sz val="11"/>
        <rFont val="Times New Roman"/>
        <family val="1"/>
      </rPr>
      <t>1.0</t>
    </r>
    <r>
      <rPr>
        <sz val="11"/>
        <rFont val="宋体"/>
        <family val="0"/>
      </rPr>
      <t>φ，</t>
    </r>
    <r>
      <rPr>
        <sz val="11"/>
        <rFont val="Times New Roman"/>
        <family val="1"/>
      </rPr>
      <t>2.5m</t>
    </r>
    <r>
      <rPr>
        <sz val="11"/>
        <rFont val="宋体"/>
        <family val="0"/>
      </rPr>
      <t>长，低频</t>
    </r>
    <r>
      <rPr>
        <sz val="11"/>
        <rFont val="Times New Roman"/>
        <family val="1"/>
      </rPr>
      <t>5.0A</t>
    </r>
    <r>
      <rPr>
        <sz val="11"/>
        <rFont val="宋体"/>
        <family val="0"/>
      </rPr>
      <t>电流时：导线的截面积</t>
    </r>
    <r>
      <rPr>
        <sz val="11"/>
        <rFont val="Times New Roman"/>
        <family val="1"/>
      </rPr>
      <t>0.785mm</t>
    </r>
    <r>
      <rPr>
        <vertAlign val="superscript"/>
        <sz val="10"/>
        <rFont val="Times New Roman"/>
        <family val="1"/>
      </rPr>
      <t>2</t>
    </r>
    <r>
      <rPr>
        <sz val="11"/>
        <rFont val="宋体"/>
        <family val="0"/>
      </rPr>
      <t>，载流密度</t>
    </r>
    <r>
      <rPr>
        <sz val="11"/>
        <rFont val="Times New Roman"/>
        <family val="1"/>
      </rPr>
      <t>6.37A/mm2</t>
    </r>
    <r>
      <rPr>
        <sz val="11"/>
        <rFont val="宋体"/>
        <family val="0"/>
      </rPr>
      <t>，直流</t>
    </r>
  </si>
  <si>
    <r>
      <t>2</t>
    </r>
    <r>
      <rPr>
        <sz val="12"/>
        <rFont val="宋体"/>
        <family val="0"/>
      </rPr>
      <t>。载流铜圆导线的温升（概算，参考）：</t>
    </r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</si>
</sst>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_ "/>
    <numFmt numFmtId="178" formatCode="0.000_ "/>
    <numFmt numFmtId="179" formatCode="0.00000_ "/>
    <numFmt numFmtId="180" formatCode="0.000000_ "/>
    <numFmt numFmtId="181" formatCode="0.0000000_ "/>
    <numFmt numFmtId="182" formatCode="0.00_ "/>
    <numFmt numFmtId="183" formatCode="0.0_ "/>
    <numFmt numFmtId="184" formatCode="0_ "/>
    <numFmt numFmtId="185" formatCode="0.000000"/>
    <numFmt numFmtId="186" formatCode="#,##0.0000"/>
    <numFmt numFmtId="187" formatCode="0.00000"/>
    <numFmt numFmtId="188" formatCode="#,##0.00000"/>
    <numFmt numFmtId="189" formatCode="#,##0.000000"/>
    <numFmt numFmtId="190" formatCode="#,##0.0"/>
    <numFmt numFmtId="191" formatCode="#,##0.000"/>
    <numFmt numFmtId="192" formatCode="#,##0.0000000"/>
    <numFmt numFmtId="193" formatCode="#,##0.00000000"/>
    <numFmt numFmtId="194" formatCode="0.00000000_ "/>
    <numFmt numFmtId="195" formatCode="#,##0.0;[Red]\-#,##0.0"/>
    <numFmt numFmtId="196" formatCode="0.0"/>
    <numFmt numFmtId="197" formatCode="#,##0.000000000"/>
    <numFmt numFmtId="198" formatCode="0.0000"/>
    <numFmt numFmtId="199" formatCode="0.000%"/>
    <numFmt numFmtId="200" formatCode="0.000_);[Red]\(0.000\)"/>
  </numFmts>
  <fonts count="7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vertAlign val="superscript"/>
      <sz val="10"/>
      <name val="宋体"/>
      <family val="0"/>
    </font>
    <font>
      <sz val="6"/>
      <name val="ＭＳ Ｐ明朝"/>
      <family val="1"/>
    </font>
    <font>
      <sz val="11"/>
      <name val="宋体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4"/>
      <name val="Arial Narrow"/>
      <family val="2"/>
    </font>
    <font>
      <b/>
      <sz val="12"/>
      <name val="宋体"/>
      <family val="0"/>
    </font>
    <font>
      <b/>
      <sz val="12"/>
      <name val="Arial Narrow"/>
      <family val="2"/>
    </font>
    <font>
      <sz val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8"/>
      <color indexed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i/>
      <sz val="10"/>
      <name val="宋体"/>
      <family val="0"/>
    </font>
    <font>
      <sz val="9"/>
      <name val="Arial Narrow"/>
      <family val="2"/>
    </font>
    <font>
      <b/>
      <sz val="9"/>
      <name val="宋体"/>
      <family val="0"/>
    </font>
    <font>
      <vertAlign val="superscript"/>
      <sz val="8"/>
      <name val="宋体"/>
      <family val="0"/>
    </font>
    <font>
      <b/>
      <i/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宋体"/>
      <family val="0"/>
    </font>
    <font>
      <b/>
      <sz val="22"/>
      <name val="华文新魏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vertAlign val="subscript"/>
      <sz val="12"/>
      <name val="Arial"/>
      <family val="2"/>
    </font>
    <font>
      <b/>
      <sz val="11"/>
      <name val="宋体"/>
      <family val="0"/>
    </font>
    <font>
      <vertAlign val="subscript"/>
      <sz val="10"/>
      <name val="Arial"/>
      <family val="2"/>
    </font>
    <font>
      <sz val="11"/>
      <name val="Arial"/>
      <family val="2"/>
    </font>
    <font>
      <b/>
      <vertAlign val="superscript"/>
      <sz val="11"/>
      <name val="宋体"/>
      <family val="0"/>
    </font>
    <font>
      <vertAlign val="superscript"/>
      <sz val="10"/>
      <name val="Arial"/>
      <family val="2"/>
    </font>
    <font>
      <vertAlign val="subscript"/>
      <sz val="11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"/>
      <family val="2"/>
    </font>
    <font>
      <sz val="12"/>
      <name val="Arial"/>
      <family val="2"/>
    </font>
    <font>
      <sz val="11"/>
      <color indexed="56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Arial"/>
      <family val="2"/>
    </font>
    <font>
      <b/>
      <sz val="12"/>
      <color indexed="56"/>
      <name val="宋体"/>
      <family val="0"/>
    </font>
    <font>
      <b/>
      <sz val="9"/>
      <name val="Arial Narrow"/>
      <family val="2"/>
    </font>
    <font>
      <b/>
      <i/>
      <sz val="10"/>
      <name val="宋体"/>
      <family val="0"/>
    </font>
    <font>
      <i/>
      <sz val="9"/>
      <color indexed="10"/>
      <name val="宋体"/>
      <family val="0"/>
    </font>
    <font>
      <b/>
      <i/>
      <sz val="10"/>
      <color indexed="18"/>
      <name val="宋体"/>
      <family val="0"/>
    </font>
    <font>
      <b/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2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4" fontId="3" fillId="0" borderId="0" xfId="0" applyNumberFormat="1" applyFont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180" fontId="3" fillId="0" borderId="1" xfId="0" applyNumberFormat="1" applyFont="1" applyFill="1" applyBorder="1" applyAlignment="1">
      <alignment horizontal="center"/>
    </xf>
    <xf numFmtId="180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0" fontId="1" fillId="0" borderId="1" xfId="20" applyNumberFormat="1" applyFont="1" applyBorder="1" applyAlignment="1">
      <alignment/>
    </xf>
    <xf numFmtId="183" fontId="1" fillId="0" borderId="1" xfId="2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91" fontId="3" fillId="0" borderId="1" xfId="0" applyNumberFormat="1" applyFont="1" applyBorder="1" applyAlignment="1">
      <alignment horizontal="center"/>
    </xf>
    <xf numFmtId="18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91" fontId="3" fillId="0" borderId="3" xfId="0" applyNumberFormat="1" applyFont="1" applyBorder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8" fontId="3" fillId="0" borderId="3" xfId="0" applyNumberFormat="1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184" fontId="3" fillId="0" borderId="3" xfId="0" applyNumberFormat="1" applyFont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186" fontId="0" fillId="0" borderId="0" xfId="0" applyNumberFormat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40" fontId="1" fillId="0" borderId="3" xfId="20" applyNumberFormat="1" applyFont="1" applyBorder="1" applyAlignment="1">
      <alignment horizontal="center"/>
    </xf>
    <xf numFmtId="183" fontId="1" fillId="0" borderId="3" xfId="20" applyNumberFormat="1" applyFont="1" applyBorder="1" applyAlignment="1">
      <alignment horizontal="center"/>
    </xf>
    <xf numFmtId="40" fontId="1" fillId="0" borderId="1" xfId="20" applyNumberFormat="1" applyFont="1" applyBorder="1" applyAlignment="1">
      <alignment horizontal="center"/>
    </xf>
    <xf numFmtId="183" fontId="1" fillId="0" borderId="1" xfId="2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2" fontId="10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182" fontId="12" fillId="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82" fontId="2" fillId="0" borderId="14" xfId="0" applyNumberFormat="1" applyFont="1" applyBorder="1" applyAlignment="1">
      <alignment horizontal="center"/>
    </xf>
    <xf numFmtId="18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4" fontId="32" fillId="0" borderId="16" xfId="0" applyNumberFormat="1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82" fontId="2" fillId="0" borderId="19" xfId="0" applyNumberFormat="1" applyFont="1" applyBorder="1" applyAlignment="1">
      <alignment horizontal="center"/>
    </xf>
    <xf numFmtId="182" fontId="2" fillId="0" borderId="20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39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98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98" fontId="34" fillId="0" borderId="0" xfId="0" applyNumberFormat="1" applyFont="1" applyBorder="1" applyAlignment="1">
      <alignment horizontal="left"/>
    </xf>
    <xf numFmtId="198" fontId="46" fillId="0" borderId="0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187" fontId="19" fillId="0" borderId="0" xfId="0" applyNumberFormat="1" applyFont="1" applyBorder="1" applyAlignment="1">
      <alignment/>
    </xf>
    <xf numFmtId="196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34" fillId="0" borderId="0" xfId="0" applyNumberFormat="1" applyFont="1" applyBorder="1" applyAlignment="1">
      <alignment horizontal="left"/>
    </xf>
    <xf numFmtId="196" fontId="34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34" fillId="0" borderId="0" xfId="0" applyFont="1" applyBorder="1" applyAlignment="1">
      <alignment/>
    </xf>
    <xf numFmtId="1" fontId="4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1" fontId="46" fillId="0" borderId="0" xfId="0" applyNumberFormat="1" applyFont="1" applyBorder="1" applyAlignment="1">
      <alignment horizontal="left"/>
    </xf>
    <xf numFmtId="187" fontId="46" fillId="0" borderId="0" xfId="0" applyNumberFormat="1" applyFont="1" applyBorder="1" applyAlignment="1">
      <alignment horizontal="left"/>
    </xf>
    <xf numFmtId="196" fontId="46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46" fillId="5" borderId="0" xfId="0" applyFont="1" applyFill="1" applyBorder="1" applyAlignment="1">
      <alignment horizontal="left"/>
    </xf>
    <xf numFmtId="1" fontId="46" fillId="5" borderId="0" xfId="0" applyNumberFormat="1" applyFont="1" applyFill="1" applyBorder="1" applyAlignment="1">
      <alignment horizontal="left"/>
    </xf>
    <xf numFmtId="198" fontId="46" fillId="5" borderId="0" xfId="0" applyNumberFormat="1" applyFont="1" applyFill="1" applyBorder="1" applyAlignment="1">
      <alignment horizontal="left"/>
    </xf>
    <xf numFmtId="0" fontId="50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76" fontId="3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87" fontId="54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" fontId="39" fillId="0" borderId="0" xfId="0" applyNumberFormat="1" applyFont="1" applyBorder="1" applyAlignment="1">
      <alignment horizontal="right"/>
    </xf>
    <xf numFmtId="1" fontId="56" fillId="0" borderId="0" xfId="0" applyNumberFormat="1" applyFont="1" applyBorder="1" applyAlignment="1">
      <alignment horizontal="right"/>
    </xf>
    <xf numFmtId="0" fontId="46" fillId="0" borderId="21" xfId="0" applyFont="1" applyBorder="1" applyAlignment="1">
      <alignment horizontal="left"/>
    </xf>
    <xf numFmtId="0" fontId="44" fillId="0" borderId="0" xfId="0" applyFont="1" applyBorder="1" applyAlignment="1">
      <alignment/>
    </xf>
    <xf numFmtId="176" fontId="39" fillId="0" borderId="0" xfId="0" applyNumberFormat="1" applyFont="1" applyBorder="1" applyAlignment="1">
      <alignment horizontal="left"/>
    </xf>
    <xf numFmtId="187" fontId="46" fillId="0" borderId="0" xfId="0" applyNumberFormat="1" applyFont="1" applyBorder="1" applyAlignment="1">
      <alignment/>
    </xf>
    <xf numFmtId="196" fontId="46" fillId="0" borderId="0" xfId="0" applyNumberFormat="1" applyFont="1" applyBorder="1" applyAlignment="1">
      <alignment horizontal="right"/>
    </xf>
    <xf numFmtId="0" fontId="46" fillId="0" borderId="21" xfId="0" applyFont="1" applyBorder="1" applyAlignment="1">
      <alignment/>
    </xf>
    <xf numFmtId="0" fontId="7" fillId="0" borderId="21" xfId="0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198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96" fontId="39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187" fontId="7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" xfId="0" applyFont="1" applyBorder="1" applyAlignment="1">
      <alignment/>
    </xf>
    <xf numFmtId="0" fontId="44" fillId="0" borderId="1" xfId="0" applyFont="1" applyBorder="1" applyAlignment="1">
      <alignment horizontal="center"/>
    </xf>
    <xf numFmtId="0" fontId="7" fillId="0" borderId="24" xfId="0" applyFont="1" applyBorder="1" applyAlignment="1">
      <alignment/>
    </xf>
    <xf numFmtId="176" fontId="7" fillId="0" borderId="1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" xfId="0" applyFont="1" applyFill="1" applyBorder="1" applyAlignment="1">
      <alignment/>
    </xf>
    <xf numFmtId="1" fontId="46" fillId="0" borderId="21" xfId="0" applyNumberFormat="1" applyFont="1" applyBorder="1" applyAlignment="1">
      <alignment horizontal="left"/>
    </xf>
    <xf numFmtId="185" fontId="7" fillId="0" borderId="1" xfId="0" applyNumberFormat="1" applyFont="1" applyBorder="1" applyAlignment="1">
      <alignment/>
    </xf>
    <xf numFmtId="1" fontId="46" fillId="0" borderId="2" xfId="0" applyNumberFormat="1" applyFont="1" applyBorder="1" applyAlignment="1">
      <alignment horizontal="left"/>
    </xf>
    <xf numFmtId="199" fontId="7" fillId="0" borderId="1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2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" xfId="0" applyFont="1" applyBorder="1" applyAlignment="1">
      <alignment/>
    </xf>
    <xf numFmtId="0" fontId="65" fillId="0" borderId="0" xfId="0" applyFont="1" applyAlignment="1">
      <alignment/>
    </xf>
    <xf numFmtId="2" fontId="19" fillId="0" borderId="0" xfId="0" applyNumberFormat="1" applyFont="1" applyAlignment="1">
      <alignment/>
    </xf>
    <xf numFmtId="0" fontId="44" fillId="0" borderId="28" xfId="0" applyFont="1" applyBorder="1" applyAlignment="1">
      <alignment/>
    </xf>
    <xf numFmtId="176" fontId="39" fillId="0" borderId="28" xfId="0" applyNumberFormat="1" applyFont="1" applyBorder="1" applyAlignment="1">
      <alignment horizontal="center"/>
    </xf>
    <xf numFmtId="1" fontId="46" fillId="0" borderId="28" xfId="0" applyNumberFormat="1" applyFont="1" applyBorder="1" applyAlignment="1">
      <alignment horizontal="right"/>
    </xf>
    <xf numFmtId="0" fontId="46" fillId="0" borderId="28" xfId="0" applyFont="1" applyBorder="1" applyAlignment="1">
      <alignment horizontal="left"/>
    </xf>
    <xf numFmtId="1" fontId="46" fillId="0" borderId="28" xfId="0" applyNumberFormat="1" applyFont="1" applyBorder="1" applyAlignment="1">
      <alignment horizontal="left"/>
    </xf>
    <xf numFmtId="198" fontId="46" fillId="0" borderId="28" xfId="0" applyNumberFormat="1" applyFont="1" applyBorder="1" applyAlignment="1">
      <alignment horizontal="left"/>
    </xf>
    <xf numFmtId="187" fontId="46" fillId="0" borderId="28" xfId="0" applyNumberFormat="1" applyFont="1" applyBorder="1" applyAlignment="1">
      <alignment horizontal="left"/>
    </xf>
    <xf numFmtId="196" fontId="46" fillId="0" borderId="28" xfId="0" applyNumberFormat="1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82" fontId="24" fillId="0" borderId="30" xfId="0" applyNumberFormat="1" applyFont="1" applyBorder="1" applyAlignment="1">
      <alignment horizontal="center"/>
    </xf>
    <xf numFmtId="182" fontId="2" fillId="0" borderId="31" xfId="0" applyNumberFormat="1" applyFont="1" applyBorder="1" applyAlignment="1">
      <alignment horizontal="center"/>
    </xf>
    <xf numFmtId="182" fontId="2" fillId="0" borderId="32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177" fontId="68" fillId="0" borderId="35" xfId="0" applyNumberFormat="1" applyFont="1" applyBorder="1" applyAlignment="1">
      <alignment horizontal="center"/>
    </xf>
    <xf numFmtId="0" fontId="0" fillId="6" borderId="0" xfId="0" applyFill="1" applyAlignment="1">
      <alignment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/>
    </xf>
    <xf numFmtId="0" fontId="1" fillId="6" borderId="0" xfId="0" applyFont="1" applyFill="1" applyAlignment="1">
      <alignment/>
    </xf>
    <xf numFmtId="0" fontId="56" fillId="0" borderId="36" xfId="0" applyFont="1" applyBorder="1" applyAlignment="1">
      <alignment horizontal="center" vertical="center"/>
    </xf>
    <xf numFmtId="184" fontId="69" fillId="7" borderId="37" xfId="0" applyNumberFormat="1" applyFont="1" applyFill="1" applyBorder="1" applyAlignment="1">
      <alignment horizontal="center"/>
    </xf>
    <xf numFmtId="184" fontId="69" fillId="7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46" fillId="0" borderId="1" xfId="0" applyNumberFormat="1" applyFont="1" applyBorder="1" applyAlignment="1">
      <alignment horizontal="right"/>
    </xf>
    <xf numFmtId="1" fontId="52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1" fontId="55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" fontId="3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38" xfId="0" applyFont="1" applyBorder="1" applyAlignment="1" quotePrefix="1">
      <alignment horizontal="center" vertical="center"/>
    </xf>
    <xf numFmtId="0" fontId="2" fillId="0" borderId="39" xfId="0" applyFont="1" applyBorder="1" applyAlignment="1" quotePrefix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 quotePrefix="1">
      <alignment horizontal="center" vertical="center"/>
    </xf>
    <xf numFmtId="181" fontId="16" fillId="0" borderId="43" xfId="0" applyNumberFormat="1" applyFont="1" applyBorder="1" applyAlignment="1">
      <alignment horizontal="right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1" fontId="18" fillId="0" borderId="11" xfId="0" applyNumberFormat="1" applyFont="1" applyBorder="1" applyAlignment="1">
      <alignment horizontal="right" vertical="center"/>
    </xf>
    <xf numFmtId="3" fontId="23" fillId="0" borderId="48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91" fontId="40" fillId="0" borderId="5" xfId="0" applyNumberFormat="1" applyFont="1" applyBorder="1" applyAlignment="1">
      <alignment horizontal="center" vertical="center" wrapText="1"/>
    </xf>
    <xf numFmtId="191" fontId="40" fillId="0" borderId="14" xfId="0" applyNumberFormat="1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2" fillId="0" borderId="36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189" fontId="12" fillId="0" borderId="50" xfId="0" applyNumberFormat="1" applyFont="1" applyBorder="1" applyAlignment="1">
      <alignment horizontal="center" vertical="center" wrapText="1"/>
    </xf>
    <xf numFmtId="189" fontId="12" fillId="0" borderId="51" xfId="0" applyNumberFormat="1" applyFont="1" applyBorder="1" applyAlignment="1">
      <alignment horizontal="center" vertical="center" wrapText="1"/>
    </xf>
    <xf numFmtId="189" fontId="12" fillId="0" borderId="13" xfId="0" applyNumberFormat="1" applyFont="1" applyBorder="1" applyAlignment="1">
      <alignment horizontal="center" vertical="center" wrapText="1"/>
    </xf>
    <xf numFmtId="189" fontId="12" fillId="0" borderId="19" xfId="0" applyNumberFormat="1" applyFont="1" applyBorder="1" applyAlignment="1">
      <alignment horizontal="center" vertical="center" wrapText="1"/>
    </xf>
    <xf numFmtId="189" fontId="12" fillId="0" borderId="33" xfId="0" applyNumberFormat="1" applyFont="1" applyBorder="1" applyAlignment="1">
      <alignment horizontal="center" vertical="center" wrapText="1"/>
    </xf>
    <xf numFmtId="189" fontId="12" fillId="0" borderId="21" xfId="0" applyNumberFormat="1" applyFont="1" applyBorder="1" applyAlignment="1">
      <alignment horizontal="center" vertical="center" wrapText="1"/>
    </xf>
    <xf numFmtId="189" fontId="12" fillId="0" borderId="15" xfId="0" applyNumberFormat="1" applyFont="1" applyBorder="1" applyAlignment="1">
      <alignment horizontal="center" vertical="center" wrapText="1"/>
    </xf>
    <xf numFmtId="189" fontId="12" fillId="0" borderId="24" xfId="0" applyNumberFormat="1" applyFont="1" applyBorder="1" applyAlignment="1">
      <alignment horizontal="center" vertical="center" wrapText="1"/>
    </xf>
    <xf numFmtId="189" fontId="12" fillId="0" borderId="5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" fillId="8" borderId="24" xfId="0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1" fontId="34" fillId="0" borderId="32" xfId="0" applyNumberFormat="1" applyFont="1" applyBorder="1" applyAlignment="1">
      <alignment horizontal="center" vertical="center"/>
    </xf>
    <xf numFmtId="181" fontId="34" fillId="0" borderId="49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89" fontId="12" fillId="0" borderId="3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9" fontId="12" fillId="0" borderId="5" xfId="0" applyNumberFormat="1" applyFont="1" applyBorder="1" applyAlignment="1">
      <alignment horizontal="center" vertical="center" wrapText="1"/>
    </xf>
    <xf numFmtId="189" fontId="12" fillId="0" borderId="48" xfId="0" applyNumberFormat="1" applyFont="1" applyBorder="1" applyAlignment="1">
      <alignment horizontal="center" vertical="center" wrapText="1"/>
    </xf>
    <xf numFmtId="189" fontId="12" fillId="0" borderId="14" xfId="0" applyNumberFormat="1" applyFont="1" applyBorder="1" applyAlignment="1">
      <alignment horizontal="center" vertical="center" wrapText="1"/>
    </xf>
    <xf numFmtId="189" fontId="12" fillId="0" borderId="49" xfId="0" applyNumberFormat="1" applyFont="1" applyBorder="1" applyAlignment="1">
      <alignment horizontal="center" vertical="center" wrapText="1"/>
    </xf>
    <xf numFmtId="191" fontId="40" fillId="0" borderId="3" xfId="0" applyNumberFormat="1" applyFont="1" applyBorder="1" applyAlignment="1">
      <alignment horizontal="center" vertical="center" wrapText="1"/>
    </xf>
    <xf numFmtId="191" fontId="40" fillId="0" borderId="57" xfId="0" applyNumberFormat="1" applyFont="1" applyBorder="1" applyAlignment="1">
      <alignment horizontal="center" vertical="center" wrapText="1"/>
    </xf>
    <xf numFmtId="191" fontId="40" fillId="0" borderId="27" xfId="0" applyNumberFormat="1" applyFont="1" applyBorder="1" applyAlignment="1">
      <alignment horizontal="center" vertical="center" wrapText="1"/>
    </xf>
    <xf numFmtId="191" fontId="40" fillId="0" borderId="58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 quotePrefix="1">
      <alignment horizontal="center" vertical="center"/>
    </xf>
    <xf numFmtId="181" fontId="34" fillId="0" borderId="14" xfId="0" applyNumberFormat="1" applyFont="1" applyBorder="1" applyAlignment="1">
      <alignment horizontal="center" vertical="center"/>
    </xf>
    <xf numFmtId="181" fontId="34" fillId="0" borderId="58" xfId="0" applyNumberFormat="1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2" fillId="0" borderId="63" xfId="0" applyFont="1" applyBorder="1" applyAlignment="1" quotePrefix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82" fontId="11" fillId="0" borderId="65" xfId="0" applyNumberFormat="1" applyFont="1" applyBorder="1" applyAlignment="1">
      <alignment horizontal="center" vertical="center"/>
    </xf>
    <xf numFmtId="182" fontId="11" fillId="0" borderId="66" xfId="0" applyNumberFormat="1" applyFont="1" applyBorder="1" applyAlignment="1">
      <alignment horizontal="center" vertical="center"/>
    </xf>
    <xf numFmtId="181" fontId="23" fillId="0" borderId="15" xfId="0" applyNumberFormat="1" applyFont="1" applyBorder="1" applyAlignment="1">
      <alignment horizontal="center" vertical="center"/>
    </xf>
    <xf numFmtId="181" fontId="23" fillId="0" borderId="63" xfId="0" applyNumberFormat="1" applyFont="1" applyBorder="1" applyAlignment="1">
      <alignment horizontal="center" vertical="center"/>
    </xf>
    <xf numFmtId="179" fontId="23" fillId="0" borderId="31" xfId="0" applyNumberFormat="1" applyFont="1" applyBorder="1" applyAlignment="1">
      <alignment horizontal="center" vertical="center"/>
    </xf>
    <xf numFmtId="179" fontId="23" fillId="0" borderId="6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182" fontId="1" fillId="2" borderId="31" xfId="0" applyNumberFormat="1" applyFont="1" applyFill="1" applyBorder="1" applyAlignment="1">
      <alignment horizontal="center" vertical="center"/>
    </xf>
    <xf numFmtId="182" fontId="29" fillId="2" borderId="63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0" fillId="4" borderId="40" xfId="0" applyFont="1" applyFill="1" applyBorder="1" applyAlignment="1">
      <alignment horizontal="center" vertical="center"/>
    </xf>
    <xf numFmtId="0" fontId="30" fillId="4" borderId="41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52" xfId="0" applyFont="1" applyBorder="1" applyAlignment="1" quotePrefix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70" xfId="0" applyFont="1" applyBorder="1" applyAlignment="1" quotePrefix="1">
      <alignment horizontal="center" vertical="center"/>
    </xf>
    <xf numFmtId="179" fontId="23" fillId="0" borderId="52" xfId="0" applyNumberFormat="1" applyFont="1" applyBorder="1" applyAlignment="1">
      <alignment horizontal="center" vertical="center"/>
    </xf>
    <xf numFmtId="176" fontId="39" fillId="0" borderId="1" xfId="0" applyNumberFormat="1" applyFont="1" applyBorder="1" applyAlignment="1">
      <alignment horizontal="center"/>
    </xf>
    <xf numFmtId="198" fontId="39" fillId="0" borderId="1" xfId="0" applyNumberFormat="1" applyFont="1" applyBorder="1" applyAlignment="1">
      <alignment horizontal="center"/>
    </xf>
    <xf numFmtId="187" fontId="39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 vertical="center" wrapText="1"/>
    </xf>
    <xf numFmtId="2" fontId="51" fillId="0" borderId="1" xfId="0" applyNumberFormat="1" applyFont="1" applyBorder="1" applyAlignment="1">
      <alignment horizontal="center"/>
    </xf>
    <xf numFmtId="176" fontId="51" fillId="0" borderId="1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/>
    </xf>
    <xf numFmtId="2" fontId="3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96" fontId="70" fillId="0" borderId="1" xfId="0" applyNumberFormat="1" applyFont="1" applyBorder="1" applyAlignment="1">
      <alignment horizontal="center"/>
    </xf>
    <xf numFmtId="196" fontId="39" fillId="0" borderId="1" xfId="0" applyNumberFormat="1" applyFont="1" applyBorder="1" applyAlignment="1">
      <alignment horizontal="center"/>
    </xf>
    <xf numFmtId="1" fontId="51" fillId="0" borderId="1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76" fontId="7" fillId="0" borderId="1" xfId="0" applyNumberFormat="1" applyFont="1" applyBorder="1" applyAlignment="1">
      <alignment horizontal="center"/>
    </xf>
    <xf numFmtId="187" fontId="46" fillId="0" borderId="0" xfId="0" applyNumberFormat="1" applyFont="1" applyBorder="1" applyAlignment="1">
      <alignment horizontal="center"/>
    </xf>
    <xf numFmtId="187" fontId="3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2" fontId="44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2" fontId="61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13</xdr:col>
      <xdr:colOff>476250</xdr:colOff>
      <xdr:row>36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9775" y="68770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4</xdr:col>
      <xdr:colOff>47625</xdr:colOff>
      <xdr:row>10</xdr:row>
      <xdr:rowOff>0</xdr:rowOff>
    </xdr:from>
    <xdr:to>
      <xdr:col>5</xdr:col>
      <xdr:colOff>0</xdr:colOff>
      <xdr:row>11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1323975" y="1790700"/>
          <a:ext cx="457200" cy="219075"/>
          <a:chOff x="139" y="223"/>
          <a:chExt cx="48" cy="2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49" y="225"/>
            <a:ext cx="2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/>
              <a:t>f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52" y="22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151" y="226"/>
            <a:ext cx="2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48" y="232"/>
            <a:ext cx="4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139" y="223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8</xdr:row>
      <xdr:rowOff>19050</xdr:rowOff>
    </xdr:from>
    <xdr:to>
      <xdr:col>14</xdr:col>
      <xdr:colOff>47625</xdr:colOff>
      <xdr:row>12</xdr:row>
      <xdr:rowOff>114300</xdr:rowOff>
    </xdr:to>
    <xdr:grpSp>
      <xdr:nvGrpSpPr>
        <xdr:cNvPr id="8" name="Group 8"/>
        <xdr:cNvGrpSpPr>
          <a:grpSpLocks noChangeAspect="1"/>
        </xdr:cNvGrpSpPr>
      </xdr:nvGrpSpPr>
      <xdr:grpSpPr>
        <a:xfrm>
          <a:off x="5219700" y="1362075"/>
          <a:ext cx="1152525" cy="942975"/>
          <a:chOff x="521" y="67"/>
          <a:chExt cx="111" cy="92"/>
        </a:xfrm>
        <a:solidFill>
          <a:srgbClr val="FFFFFF"/>
        </a:solidFill>
      </xdr:grpSpPr>
      <xdr:sp>
        <xdr:nvSpPr>
          <xdr:cNvPr id="9" name="Oval 9"/>
          <xdr:cNvSpPr>
            <a:spLocks noChangeAspect="1"/>
          </xdr:cNvSpPr>
        </xdr:nvSpPr>
        <xdr:spPr>
          <a:xfrm>
            <a:off x="536" y="72"/>
            <a:ext cx="76" cy="76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Oval 10"/>
          <xdr:cNvSpPr>
            <a:spLocks noChangeAspect="1"/>
          </xdr:cNvSpPr>
        </xdr:nvSpPr>
        <xdr:spPr>
          <a:xfrm>
            <a:off x="555" y="9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21" y="110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 noChangeAspect="1"/>
          </xdr:cNvSpPr>
        </xdr:nvSpPr>
        <xdr:spPr>
          <a:xfrm>
            <a:off x="574" y="67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 noChangeAspect="1"/>
          </xdr:cNvSpPr>
        </xdr:nvSpPr>
        <xdr:spPr>
          <a:xfrm flipV="1">
            <a:off x="574" y="9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 flipH="1">
            <a:off x="583" y="78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Rectangle 15"/>
          <xdr:cNvSpPr>
            <a:spLocks noChangeAspect="1"/>
          </xdr:cNvSpPr>
        </xdr:nvSpPr>
        <xdr:spPr>
          <a:xfrm>
            <a:off x="614" y="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df</a:t>
            </a:r>
          </a:p>
        </xdr:txBody>
      </xdr:sp>
      <xdr:sp>
        <xdr:nvSpPr>
          <xdr:cNvPr id="16" name="Line 16"/>
          <xdr:cNvSpPr>
            <a:spLocks noChangeAspect="1"/>
          </xdr:cNvSpPr>
        </xdr:nvSpPr>
        <xdr:spPr>
          <a:xfrm flipH="1">
            <a:off x="589" y="83"/>
            <a:ext cx="2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Rectangle 17"/>
          <xdr:cNvSpPr>
            <a:spLocks noChangeAspect="1"/>
          </xdr:cNvSpPr>
        </xdr:nvSpPr>
        <xdr:spPr>
          <a:xfrm>
            <a:off x="586" y="91"/>
            <a:ext cx="1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4</xdr:col>
      <xdr:colOff>466725</xdr:colOff>
      <xdr:row>20</xdr:row>
      <xdr:rowOff>19050</xdr:rowOff>
    </xdr:from>
    <xdr:to>
      <xdr:col>6</xdr:col>
      <xdr:colOff>57150</xdr:colOff>
      <xdr:row>20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1743075" y="374332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ρ</a:t>
          </a:r>
          <a:r>
            <a:rPr lang="en-US" cap="none" sz="1100" b="1" i="0" u="none" baseline="0"/>
            <a:t>x L</a:t>
          </a:r>
        </a:p>
      </xdr:txBody>
    </xdr:sp>
    <xdr:clientData/>
  </xdr:twoCellAnchor>
  <xdr:twoCellAnchor>
    <xdr:from>
      <xdr:col>4</xdr:col>
      <xdr:colOff>0</xdr:colOff>
      <xdr:row>20</xdr:row>
      <xdr:rowOff>180975</xdr:rowOff>
    </xdr:from>
    <xdr:to>
      <xdr:col>7</xdr:col>
      <xdr:colOff>161925</xdr:colOff>
      <xdr:row>22</xdr:row>
      <xdr:rowOff>38100</xdr:rowOff>
    </xdr:to>
    <xdr:sp>
      <xdr:nvSpPr>
        <xdr:cNvPr id="19" name="Rectangle 19"/>
        <xdr:cNvSpPr>
          <a:spLocks/>
        </xdr:cNvSpPr>
      </xdr:nvSpPr>
      <xdr:spPr>
        <a:xfrm>
          <a:off x="1276350" y="3905250"/>
          <a:ext cx="1676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π</a:t>
          </a:r>
          <a:r>
            <a:rPr lang="en-US" cap="none" sz="900" b="1" i="0" u="none" baseline="0"/>
            <a:t>X</a:t>
          </a:r>
          <a:r>
            <a:rPr lang="en-US" cap="none" sz="1100" b="1" i="0" u="none" baseline="0"/>
            <a:t> ( r </a:t>
          </a:r>
          <a:r>
            <a:rPr lang="en-US" cap="none" sz="1100" b="1" i="0" u="none" baseline="30000"/>
            <a:t>2 </a:t>
          </a:r>
          <a:r>
            <a:rPr lang="en-US" cap="none" sz="1100" b="1" i="0" u="none" baseline="0"/>
            <a:t>- ( r - 10</a:t>
          </a:r>
          <a:r>
            <a:rPr lang="en-US" cap="none" sz="1000" b="1" i="0" u="none" baseline="0"/>
            <a:t>X</a:t>
          </a:r>
          <a:r>
            <a:rPr lang="en-US" cap="none" sz="1100" b="1" i="0" u="none" baseline="0"/>
            <a:t>d </a:t>
          </a:r>
          <a:r>
            <a:rPr lang="en-US" cap="none" sz="1100" b="1" i="0" u="none" baseline="-25000"/>
            <a:t>f</a:t>
          </a:r>
          <a:r>
            <a:rPr lang="en-US" cap="none" sz="1100" b="1" i="0" u="none" baseline="0"/>
            <a:t> )</a:t>
          </a:r>
          <a:r>
            <a:rPr lang="en-US" cap="none" sz="1100" b="1" i="0" u="none" baseline="30000"/>
            <a:t>2 </a:t>
          </a:r>
          <a:r>
            <a:rPr lang="en-US" cap="none" sz="1100" b="1" i="0" u="none" baseline="0"/>
            <a:t>)</a:t>
          </a:r>
        </a:p>
      </xdr:txBody>
    </xdr:sp>
    <xdr:clientData/>
  </xdr:twoCellAnchor>
  <xdr:twoCellAnchor>
    <xdr:from>
      <xdr:col>4</xdr:col>
      <xdr:colOff>76200</xdr:colOff>
      <xdr:row>21</xdr:row>
      <xdr:rowOff>9525</xdr:rowOff>
    </xdr:from>
    <xdr:to>
      <xdr:col>7</xdr:col>
      <xdr:colOff>133350</xdr:colOff>
      <xdr:row>21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352550" y="3933825"/>
          <a:ext cx="157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161925</xdr:rowOff>
    </xdr:from>
    <xdr:to>
      <xdr:col>8</xdr:col>
      <xdr:colOff>400050</xdr:colOff>
      <xdr:row>25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1276350" y="4286250"/>
          <a:ext cx="2419350" cy="438150"/>
          <a:chOff x="134" y="504"/>
          <a:chExt cx="254" cy="52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221" y="504"/>
            <a:ext cx="6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ρ</a:t>
            </a:r>
            <a:r>
              <a:rPr lang="en-US" cap="none" sz="1100" b="1" i="0" u="none" baseline="0"/>
              <a:t>x L</a:t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134" y="527"/>
            <a:ext cx="25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π</a:t>
            </a:r>
            <a:r>
              <a:rPr lang="en-US" cap="none" sz="900" b="1" i="0" u="none" baseline="0"/>
              <a:t>X </a:t>
            </a:r>
            <a:r>
              <a:rPr lang="en-US" cap="none" sz="1100" b="1" i="0" u="none" baseline="0"/>
              <a:t>( r </a:t>
            </a:r>
            <a:r>
              <a:rPr lang="en-US" cap="none" sz="1100" b="1" i="0" u="none" baseline="30000"/>
              <a:t>2 </a:t>
            </a:r>
            <a:r>
              <a:rPr lang="en-US" cap="none" sz="1100" b="1" i="0" u="none" baseline="0"/>
              <a:t>- ( r - (6.61x10) /         )</a:t>
            </a:r>
            <a:r>
              <a:rPr lang="en-US" cap="none" sz="1100" b="1" i="0" u="none" baseline="30000"/>
              <a:t>2 </a:t>
            </a:r>
            <a:r>
              <a:rPr lang="en-US" cap="none" sz="1100" b="1" i="0" u="none" baseline="0"/>
              <a:t>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42" y="529"/>
            <a:ext cx="2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25" name="Group 25"/>
          <xdr:cNvGrpSpPr>
            <a:grpSpLocks/>
          </xdr:cNvGrpSpPr>
        </xdr:nvGrpSpPr>
        <xdr:grpSpPr>
          <a:xfrm>
            <a:off x="321" y="535"/>
            <a:ext cx="25" cy="21"/>
            <a:chOff x="417" y="553"/>
            <a:chExt cx="25" cy="21"/>
          </a:xfrm>
          <a:solidFill>
            <a:srgbClr val="FFFFFF"/>
          </a:solidFill>
        </xdr:grpSpPr>
        <xdr:sp>
          <xdr:nvSpPr>
            <xdr:cNvPr id="26" name="Rectangle 26"/>
            <xdr:cNvSpPr>
              <a:spLocks/>
            </xdr:cNvSpPr>
          </xdr:nvSpPr>
          <xdr:spPr>
            <a:xfrm>
              <a:off x="418" y="553"/>
              <a:ext cx="2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/>
                <a:t>f</a:t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421" y="554"/>
              <a:ext cx="17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H="1">
              <a:off x="420" y="554"/>
              <a:ext cx="2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417" y="560"/>
              <a:ext cx="4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361950</xdr:colOff>
      <xdr:row>29</xdr:row>
      <xdr:rowOff>104775</xdr:rowOff>
    </xdr:from>
    <xdr:to>
      <xdr:col>13</xdr:col>
      <xdr:colOff>409575</xdr:colOff>
      <xdr:row>31</xdr:row>
      <xdr:rowOff>200025</xdr:rowOff>
    </xdr:to>
    <xdr:grpSp>
      <xdr:nvGrpSpPr>
        <xdr:cNvPr id="30" name="Group 30"/>
        <xdr:cNvGrpSpPr>
          <a:grpSpLocks/>
        </xdr:cNvGrpSpPr>
      </xdr:nvGrpSpPr>
      <xdr:grpSpPr>
        <a:xfrm>
          <a:off x="5172075" y="5629275"/>
          <a:ext cx="1057275" cy="533400"/>
          <a:chOff x="556" y="733"/>
          <a:chExt cx="104" cy="51"/>
        </a:xfrm>
        <a:solidFill>
          <a:srgbClr val="FFFFFF"/>
        </a:solidFill>
      </xdr:grpSpPr>
      <xdr:sp>
        <xdr:nvSpPr>
          <xdr:cNvPr id="31" name="Oval 31"/>
          <xdr:cNvSpPr>
            <a:spLocks/>
          </xdr:cNvSpPr>
        </xdr:nvSpPr>
        <xdr:spPr>
          <a:xfrm>
            <a:off x="556" y="733"/>
            <a:ext cx="53" cy="5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559" y="736"/>
            <a:ext cx="47" cy="45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83" y="73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592" y="78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43" y="733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584" y="737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84" y="78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626" y="73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614" y="757"/>
            <a:ext cx="24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宋体"/>
                <a:ea typeface="宋体"/>
                <a:cs typeface="宋体"/>
              </a:rPr>
              <a:t>Φ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r</a:t>
            </a:r>
          </a:p>
        </xdr:txBody>
      </xdr:sp>
      <xdr:sp>
        <xdr:nvSpPr>
          <xdr:cNvPr id="40" name="TextBox 40"/>
          <xdr:cNvSpPr txBox="1">
            <a:spLocks noChangeArrowheads="1"/>
          </xdr:cNvSpPr>
        </xdr:nvSpPr>
        <xdr:spPr>
          <a:xfrm>
            <a:off x="635" y="746"/>
            <a:ext cx="2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宋体"/>
                <a:ea typeface="宋体"/>
                <a:cs typeface="宋体"/>
              </a:rPr>
              <a:t>Φ</a:t>
            </a: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d</a:t>
            </a:r>
          </a:p>
        </xdr:txBody>
      </xdr:sp>
    </xdr:grpSp>
    <xdr:clientData/>
  </xdr:twoCellAnchor>
  <xdr:twoCellAnchor>
    <xdr:from>
      <xdr:col>13</xdr:col>
      <xdr:colOff>0</xdr:colOff>
      <xdr:row>38</xdr:row>
      <xdr:rowOff>28575</xdr:rowOff>
    </xdr:from>
    <xdr:to>
      <xdr:col>13</xdr:col>
      <xdr:colOff>476250</xdr:colOff>
      <xdr:row>38</xdr:row>
      <xdr:rowOff>171450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5819775" y="727710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40</xdr:row>
      <xdr:rowOff>28575</xdr:rowOff>
    </xdr:from>
    <xdr:to>
      <xdr:col>13</xdr:col>
      <xdr:colOff>476250</xdr:colOff>
      <xdr:row>40</xdr:row>
      <xdr:rowOff>171450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5819775" y="76771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39</xdr:row>
      <xdr:rowOff>38100</xdr:rowOff>
    </xdr:from>
    <xdr:to>
      <xdr:col>13</xdr:col>
      <xdr:colOff>476250</xdr:colOff>
      <xdr:row>39</xdr:row>
      <xdr:rowOff>180975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5819775" y="74866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37</xdr:row>
      <xdr:rowOff>28575</xdr:rowOff>
    </xdr:from>
    <xdr:to>
      <xdr:col>13</xdr:col>
      <xdr:colOff>476250</xdr:colOff>
      <xdr:row>37</xdr:row>
      <xdr:rowOff>171450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5819775" y="7077075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5</xdr:col>
      <xdr:colOff>495300</xdr:colOff>
      <xdr:row>58</xdr:row>
      <xdr:rowOff>133350</xdr:rowOff>
    </xdr:from>
    <xdr:to>
      <xdr:col>13</xdr:col>
      <xdr:colOff>0</xdr:colOff>
      <xdr:row>63</xdr:row>
      <xdr:rowOff>9525</xdr:rowOff>
    </xdr:to>
    <xdr:sp>
      <xdr:nvSpPr>
        <xdr:cNvPr id="45" name="Rectangle 46"/>
        <xdr:cNvSpPr>
          <a:spLocks/>
        </xdr:cNvSpPr>
      </xdr:nvSpPr>
      <xdr:spPr>
        <a:xfrm>
          <a:off x="2276475" y="11315700"/>
          <a:ext cx="3543300" cy="781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概算条件：
①在</a:t>
          </a:r>
          <a:r>
            <a:rPr lang="en-US" cap="none" sz="1100" b="0" i="0" u="none" baseline="0"/>
            <a:t>20</a:t>
          </a:r>
          <a:r>
            <a:rPr lang="en-US" cap="none" sz="1100" b="0" i="0" u="none" baseline="0">
              <a:latin typeface="宋体"/>
              <a:ea typeface="宋体"/>
              <a:cs typeface="宋体"/>
            </a:rPr>
            <a:t>℃的无风空间；
②按</a:t>
          </a:r>
          <a:r>
            <a:rPr lang="en-US" cap="none" sz="1100" b="0" i="0" u="none" baseline="0"/>
            <a:t>55%</a:t>
          </a:r>
          <a:r>
            <a:rPr lang="en-US" cap="none" sz="1100" b="0" i="0" u="none" baseline="0">
              <a:latin typeface="宋体"/>
              <a:ea typeface="宋体"/>
              <a:cs typeface="宋体"/>
            </a:rPr>
            <a:t>辐射和</a:t>
          </a:r>
          <a:r>
            <a:rPr lang="en-US" cap="none" sz="1100" b="0" i="0" u="none" baseline="0"/>
            <a:t>45%</a:t>
          </a:r>
          <a:r>
            <a:rPr lang="en-US" cap="none" sz="1100" b="0" i="0" u="none" baseline="0">
              <a:latin typeface="宋体"/>
              <a:ea typeface="宋体"/>
              <a:cs typeface="宋体"/>
            </a:rPr>
            <a:t>对流组合方式散热；
③未考虑导线绝缘膜厚度对散热的影响。
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6" name="Rectangle 62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7" name="Rectangle 63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8" name="Rectangle 64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9" name="Rectangle 65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内有隐蔽数据，请勿改动！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0</xdr:rowOff>
    </xdr:from>
    <xdr:to>
      <xdr:col>5</xdr:col>
      <xdr:colOff>409575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057400" y="0"/>
          <a:ext cx="257175" cy="0"/>
          <a:chOff x="264" y="1235"/>
          <a:chExt cx="27" cy="1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7" y="1235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/>
              <a:t>f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70" y="123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267" y="1236"/>
            <a:ext cx="4" cy="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64" y="1246"/>
            <a:ext cx="4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952625" y="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200025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4476750" y="0"/>
          <a:ext cx="1057275" cy="0"/>
          <a:chOff x="521" y="67"/>
          <a:chExt cx="111" cy="92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536" y="72"/>
            <a:ext cx="76" cy="76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55" y="9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521" y="110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74" y="67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574" y="9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583" y="78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614" y="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df</a:t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589" y="83"/>
            <a:ext cx="2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586" y="91"/>
            <a:ext cx="1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5</xdr:col>
      <xdr:colOff>57150</xdr:colOff>
      <xdr:row>0</xdr:row>
      <xdr:rowOff>0</xdr:rowOff>
    </xdr:from>
    <xdr:to>
      <xdr:col>7</xdr:col>
      <xdr:colOff>285750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1962150" y="0"/>
          <a:ext cx="1600200" cy="0"/>
          <a:chOff x="130" y="128"/>
          <a:chExt cx="168" cy="46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178" y="128"/>
            <a:ext cx="6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ρ</a:t>
            </a:r>
            <a:r>
              <a:rPr lang="en-US" cap="none" sz="1200" b="1" i="0" u="none" baseline="0"/>
              <a:t>x L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30" y="148"/>
            <a:ext cx="16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π</a:t>
            </a:r>
            <a:r>
              <a:rPr lang="en-US" cap="none" sz="1200" b="1" i="0" u="none" baseline="0"/>
              <a:t>X ( r </a:t>
            </a:r>
            <a:r>
              <a:rPr lang="en-US" cap="none" sz="1200" b="1" i="0" u="none" baseline="30000"/>
              <a:t>2 </a:t>
            </a:r>
            <a:r>
              <a:rPr lang="en-US" cap="none" sz="1200" b="1" i="0" u="none" baseline="0"/>
              <a:t>- ( r - d </a:t>
            </a:r>
            <a:r>
              <a:rPr lang="en-US" cap="none" sz="1200" b="1" i="0" u="none" baseline="-25000"/>
              <a:t>f</a:t>
            </a:r>
            <a:r>
              <a:rPr lang="en-US" cap="none" sz="1200" b="1" i="0" u="none" baseline="0"/>
              <a:t> )</a:t>
            </a:r>
            <a:r>
              <a:rPr lang="en-US" cap="none" sz="1200" b="1" i="0" u="none" baseline="30000"/>
              <a:t>2 </a:t>
            </a:r>
            <a:r>
              <a:rPr lang="en-US" cap="none" sz="1200" b="1" i="0" u="none" baseline="0"/>
              <a:t>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35" y="150"/>
            <a:ext cx="15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9</xdr:row>
      <xdr:rowOff>190500</xdr:rowOff>
    </xdr:from>
    <xdr:to>
      <xdr:col>12</xdr:col>
      <xdr:colOff>9525</xdr:colOff>
      <xdr:row>11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14950" y="1933575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276600" y="4972050"/>
          <a:ext cx="3438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6</xdr:col>
      <xdr:colOff>19050</xdr:colOff>
      <xdr:row>5</xdr:row>
      <xdr:rowOff>66675</xdr:rowOff>
    </xdr:from>
    <xdr:to>
      <xdr:col>6</xdr:col>
      <xdr:colOff>200025</xdr:colOff>
      <xdr:row>7</xdr:row>
      <xdr:rowOff>104775</xdr:rowOff>
    </xdr:to>
    <xdr:sp>
      <xdr:nvSpPr>
        <xdr:cNvPr id="23" name="Rectangle 23"/>
        <xdr:cNvSpPr>
          <a:spLocks/>
        </xdr:cNvSpPr>
      </xdr:nvSpPr>
      <xdr:spPr>
        <a:xfrm>
          <a:off x="2609850" y="1000125"/>
          <a:ext cx="180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宋体"/>
              <a:ea typeface="宋体"/>
              <a:cs typeface="宋体"/>
            </a:rPr>
            <a:t>输入</a:t>
          </a:r>
        </a:p>
      </xdr:txBody>
    </xdr:sp>
    <xdr:clientData/>
  </xdr:twoCellAnchor>
  <xdr:twoCellAnchor>
    <xdr:from>
      <xdr:col>6</xdr:col>
      <xdr:colOff>19050</xdr:colOff>
      <xdr:row>8</xdr:row>
      <xdr:rowOff>104775</xdr:rowOff>
    </xdr:from>
    <xdr:to>
      <xdr:col>6</xdr:col>
      <xdr:colOff>209550</xdr:colOff>
      <xdr:row>10</xdr:row>
      <xdr:rowOff>114300</xdr:rowOff>
    </xdr:to>
    <xdr:sp>
      <xdr:nvSpPr>
        <xdr:cNvPr id="24" name="Rectangle 24"/>
        <xdr:cNvSpPr>
          <a:spLocks/>
        </xdr:cNvSpPr>
      </xdr:nvSpPr>
      <xdr:spPr>
        <a:xfrm>
          <a:off x="2609850" y="1609725"/>
          <a:ext cx="1905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结果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9</xdr:col>
      <xdr:colOff>19050</xdr:colOff>
      <xdr:row>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933575" y="0"/>
          <a:ext cx="2733675" cy="0"/>
          <a:chOff x="203" y="187"/>
          <a:chExt cx="287" cy="47"/>
        </a:xfrm>
        <a:solidFill>
          <a:srgbClr val="FFFFFF"/>
        </a:solidFill>
      </xdr:grpSpPr>
      <xdr:grpSp>
        <xdr:nvGrpSpPr>
          <xdr:cNvPr id="26" name="Group 26"/>
          <xdr:cNvGrpSpPr>
            <a:grpSpLocks/>
          </xdr:cNvGrpSpPr>
        </xdr:nvGrpSpPr>
        <xdr:grpSpPr>
          <a:xfrm>
            <a:off x="203" y="187"/>
            <a:ext cx="239" cy="47"/>
            <a:chOff x="134" y="187"/>
            <a:chExt cx="239" cy="47"/>
          </a:xfrm>
          <a:solidFill>
            <a:srgbClr val="FFFFFF"/>
          </a:solidFill>
        </xdr:grpSpPr>
        <xdr:sp>
          <xdr:nvSpPr>
            <xdr:cNvPr id="27" name="Rectangle 27"/>
            <xdr:cNvSpPr>
              <a:spLocks/>
            </xdr:cNvSpPr>
          </xdr:nvSpPr>
          <xdr:spPr>
            <a:xfrm>
              <a:off x="208" y="187"/>
              <a:ext cx="65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宋体"/>
                  <a:ea typeface="宋体"/>
                  <a:cs typeface="宋体"/>
                </a:rPr>
                <a:t>ρ</a:t>
              </a:r>
              <a:r>
                <a:rPr lang="en-US" cap="none" sz="1200" b="1" i="0" u="none" baseline="0"/>
                <a:t>x L</a:t>
              </a:r>
            </a:p>
          </xdr:txBody>
        </xdr:sp>
        <xdr:sp>
          <xdr:nvSpPr>
            <xdr:cNvPr id="28" name="Rectangle 28"/>
            <xdr:cNvSpPr>
              <a:spLocks/>
            </xdr:cNvSpPr>
          </xdr:nvSpPr>
          <xdr:spPr>
            <a:xfrm>
              <a:off x="134" y="209"/>
              <a:ext cx="239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latin typeface="宋体"/>
                  <a:ea typeface="宋体"/>
                  <a:cs typeface="宋体"/>
                </a:rPr>
                <a:t>π</a:t>
              </a:r>
              <a:r>
                <a:rPr lang="en-US" cap="none" sz="1200" b="1" i="0" u="none" baseline="0"/>
                <a:t>X ( r </a:t>
              </a:r>
              <a:r>
                <a:rPr lang="en-US" cap="none" sz="1200" b="1" i="0" u="none" baseline="30000"/>
                <a:t>2 </a:t>
              </a:r>
              <a:r>
                <a:rPr lang="en-US" cap="none" sz="1200" b="1" i="0" u="none" baseline="0"/>
                <a:t>- ( r - (6.61x10) / f </a:t>
              </a:r>
              <a:r>
                <a:rPr lang="en-US" cap="none" sz="1200" b="1" i="0" u="none" baseline="30000"/>
                <a:t>0.5</a:t>
              </a:r>
              <a:r>
                <a:rPr lang="en-US" cap="none" sz="1200" b="1" i="0" u="none" baseline="0"/>
                <a:t>)</a:t>
              </a:r>
              <a:r>
                <a:rPr lang="en-US" cap="none" sz="1200" b="1" i="0" u="none" baseline="30000"/>
                <a:t>2 </a:t>
              </a:r>
              <a:r>
                <a:rPr lang="en-US" cap="none" sz="1200" b="1" i="0" u="none" baseline="0"/>
                <a:t>)</a:t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140" y="211"/>
              <a:ext cx="22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  <xdr:sp>
        <xdr:nvSpPr>
          <xdr:cNvPr id="30" name="Rectangle 30"/>
          <xdr:cNvSpPr>
            <a:spLocks/>
          </xdr:cNvSpPr>
        </xdr:nvSpPr>
        <xdr:spPr>
          <a:xfrm>
            <a:off x="444" y="199"/>
            <a:ext cx="4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/>
              <a:t>( Ω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1"/>
  <sheetViews>
    <sheetView tabSelected="1" workbookViewId="0" topLeftCell="A1">
      <selection activeCell="D7" sqref="D7:E8"/>
    </sheetView>
  </sheetViews>
  <sheetFormatPr defaultColWidth="9.00390625" defaultRowHeight="14.25"/>
  <cols>
    <col min="1" max="1" width="2.75390625" style="0" customWidth="1"/>
    <col min="2" max="4" width="6.875" style="0" customWidth="1"/>
    <col min="5" max="5" width="6.875" style="13" customWidth="1"/>
    <col min="6" max="13" width="6.875" style="0" customWidth="1"/>
    <col min="14" max="14" width="6.875" style="19" customWidth="1"/>
    <col min="15" max="18" width="6.875" style="21" customWidth="1"/>
    <col min="19" max="19" width="3.50390625" style="21" customWidth="1"/>
    <col min="20" max="20" width="3.25390625" style="21" customWidth="1"/>
    <col min="21" max="24" width="7.50390625" style="21" customWidth="1"/>
    <col min="25" max="26" width="9.00390625" style="21" customWidth="1"/>
  </cols>
  <sheetData>
    <row r="1" spans="1:20" ht="10.5" customHeight="1">
      <c r="A1" s="64"/>
      <c r="C1" s="20"/>
      <c r="H1" s="19"/>
      <c r="I1" s="19"/>
      <c r="J1" s="19"/>
      <c r="K1" s="20"/>
      <c r="L1" s="20"/>
      <c r="M1" s="19"/>
      <c r="Q1" s="22"/>
      <c r="R1" s="48"/>
      <c r="S1" s="48"/>
      <c r="T1" s="67"/>
    </row>
    <row r="2" spans="1:32" s="46" customFormat="1" ht="17.25" customHeight="1">
      <c r="A2" s="45"/>
      <c r="B2" s="83" t="s">
        <v>83</v>
      </c>
      <c r="C2" s="78"/>
      <c r="D2" s="47"/>
      <c r="E2" s="47"/>
      <c r="F2" s="306" t="s">
        <v>224</v>
      </c>
      <c r="G2" s="306"/>
      <c r="H2" s="306"/>
      <c r="I2" s="306"/>
      <c r="J2" s="306"/>
      <c r="K2" s="306"/>
      <c r="L2" s="306"/>
      <c r="M2" s="306"/>
      <c r="N2" s="306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45"/>
      <c r="AB2" s="45"/>
      <c r="AC2" s="45"/>
      <c r="AD2" s="45"/>
      <c r="AE2" s="45"/>
      <c r="AF2" s="45"/>
    </row>
    <row r="3" spans="1:32" s="46" customFormat="1" ht="5.25" customHeight="1" thickBot="1">
      <c r="A3" s="45"/>
      <c r="C3" s="78"/>
      <c r="D3" s="47"/>
      <c r="E3" s="47"/>
      <c r="F3" s="307"/>
      <c r="G3" s="307"/>
      <c r="H3" s="307"/>
      <c r="I3" s="307"/>
      <c r="J3" s="307"/>
      <c r="K3" s="307"/>
      <c r="L3" s="307"/>
      <c r="M3" s="307"/>
      <c r="N3" s="30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5"/>
      <c r="AB3" s="45"/>
      <c r="AC3" s="45"/>
      <c r="AD3" s="45"/>
      <c r="AE3" s="45"/>
      <c r="AF3" s="45"/>
    </row>
    <row r="4" spans="1:35" s="46" customFormat="1" ht="14.25" customHeight="1" thickBot="1" thickTop="1">
      <c r="A4" s="45"/>
      <c r="B4" s="77" t="s">
        <v>81</v>
      </c>
      <c r="C4" s="50"/>
      <c r="N4" s="45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45"/>
      <c r="AB4" s="45"/>
      <c r="AC4" s="45"/>
      <c r="AD4" s="45"/>
      <c r="AE4" s="45"/>
      <c r="AF4" s="45"/>
      <c r="AG4" s="50"/>
      <c r="AH4" s="50"/>
      <c r="AI4" s="50"/>
    </row>
    <row r="5" spans="1:32" s="46" customFormat="1" ht="14.25">
      <c r="A5" s="45"/>
      <c r="B5" s="57" t="s">
        <v>36</v>
      </c>
      <c r="C5" s="310" t="s">
        <v>57</v>
      </c>
      <c r="D5" s="220" t="s">
        <v>58</v>
      </c>
      <c r="E5" s="224"/>
      <c r="F5" s="220" t="s">
        <v>59</v>
      </c>
      <c r="G5" s="221"/>
      <c r="H5" s="267" t="s">
        <v>60</v>
      </c>
      <c r="I5" s="279"/>
      <c r="J5" s="280"/>
      <c r="K5" s="222" t="s">
        <v>77</v>
      </c>
      <c r="L5" s="278"/>
      <c r="M5" s="278"/>
      <c r="N5" s="278"/>
      <c r="O5" s="278"/>
      <c r="P5" s="223"/>
      <c r="Q5" s="267" t="s">
        <v>61</v>
      </c>
      <c r="R5" s="223"/>
      <c r="S5" s="48"/>
      <c r="T5" s="48"/>
      <c r="U5" s="48"/>
      <c r="V5" s="48"/>
      <c r="W5" s="48"/>
      <c r="Z5" s="49"/>
      <c r="AA5" s="45"/>
      <c r="AB5" s="45"/>
      <c r="AC5" s="45"/>
      <c r="AD5" s="45"/>
      <c r="AE5" s="45"/>
      <c r="AF5" s="45"/>
    </row>
    <row r="6" spans="1:32" s="46" customFormat="1" ht="15" customHeight="1" thickBot="1">
      <c r="A6" s="45"/>
      <c r="B6" s="58" t="s">
        <v>34</v>
      </c>
      <c r="C6" s="311"/>
      <c r="D6" s="240" t="s">
        <v>75</v>
      </c>
      <c r="E6" s="241"/>
      <c r="F6" s="208" t="s">
        <v>11</v>
      </c>
      <c r="G6" s="72" t="s">
        <v>62</v>
      </c>
      <c r="H6" s="59" t="s">
        <v>63</v>
      </c>
      <c r="I6" s="44" t="s">
        <v>64</v>
      </c>
      <c r="J6" s="60" t="s">
        <v>65</v>
      </c>
      <c r="K6" s="277" t="s">
        <v>66</v>
      </c>
      <c r="L6" s="233"/>
      <c r="M6" s="233" t="s">
        <v>67</v>
      </c>
      <c r="N6" s="233"/>
      <c r="O6" s="233" t="s">
        <v>68</v>
      </c>
      <c r="P6" s="281"/>
      <c r="Q6" s="268" t="s">
        <v>79</v>
      </c>
      <c r="R6" s="265"/>
      <c r="S6" s="48"/>
      <c r="T6" s="48"/>
      <c r="U6" s="48"/>
      <c r="V6" s="48"/>
      <c r="W6" s="48"/>
      <c r="Z6" s="49"/>
      <c r="AA6" s="45"/>
      <c r="AB6" s="45"/>
      <c r="AC6" s="45"/>
      <c r="AD6" s="45"/>
      <c r="AE6" s="45"/>
      <c r="AF6" s="45"/>
    </row>
    <row r="7" spans="1:32" s="46" customFormat="1" ht="11.25" customHeight="1" thickTop="1">
      <c r="A7" s="45"/>
      <c r="B7" s="228">
        <v>1</v>
      </c>
      <c r="C7" s="226" t="str">
        <f>IF(D7=0,"表中未列","已列出")</f>
        <v>已列出</v>
      </c>
      <c r="D7" s="242">
        <f>R68</f>
        <v>0.785</v>
      </c>
      <c r="E7" s="243"/>
      <c r="F7" s="231">
        <f aca="true" t="shared" si="0" ref="F7:K7">S68</f>
        <v>18</v>
      </c>
      <c r="G7" s="235">
        <f t="shared" si="0"/>
        <v>19</v>
      </c>
      <c r="H7" s="237">
        <f t="shared" si="0"/>
        <v>1.062</v>
      </c>
      <c r="I7" s="273">
        <f t="shared" si="0"/>
        <v>1.094</v>
      </c>
      <c r="J7" s="275">
        <f t="shared" si="0"/>
        <v>1.124</v>
      </c>
      <c r="K7" s="246">
        <f t="shared" si="0"/>
        <v>0.021765772213140452</v>
      </c>
      <c r="L7" s="247"/>
      <c r="M7" s="249">
        <f>Y68</f>
        <v>0.02116</v>
      </c>
      <c r="N7" s="247"/>
      <c r="O7" s="249">
        <f>Z68</f>
        <v>0.0224</v>
      </c>
      <c r="P7" s="266"/>
      <c r="Q7" s="269">
        <f>AA68</f>
        <v>6.986500000000001</v>
      </c>
      <c r="R7" s="270"/>
      <c r="S7" s="48"/>
      <c r="T7" s="48"/>
      <c r="U7" s="48"/>
      <c r="V7" s="48"/>
      <c r="W7" s="48"/>
      <c r="Z7" s="49"/>
      <c r="AA7" s="45"/>
      <c r="AB7" s="45"/>
      <c r="AC7" s="45"/>
      <c r="AD7" s="45"/>
      <c r="AE7" s="45"/>
      <c r="AF7" s="45"/>
    </row>
    <row r="8" spans="1:32" s="46" customFormat="1" ht="10.5" customHeight="1" thickBot="1">
      <c r="A8" s="45"/>
      <c r="B8" s="229"/>
      <c r="C8" s="227"/>
      <c r="D8" s="244"/>
      <c r="E8" s="245"/>
      <c r="F8" s="232"/>
      <c r="G8" s="236"/>
      <c r="H8" s="238"/>
      <c r="I8" s="274"/>
      <c r="J8" s="276"/>
      <c r="K8" s="244"/>
      <c r="L8" s="248"/>
      <c r="M8" s="250"/>
      <c r="N8" s="248"/>
      <c r="O8" s="250"/>
      <c r="P8" s="245"/>
      <c r="Q8" s="271"/>
      <c r="R8" s="272"/>
      <c r="S8" s="48"/>
      <c r="T8" s="48"/>
      <c r="U8" s="48"/>
      <c r="V8" s="48"/>
      <c r="W8" s="48"/>
      <c r="Z8" s="49"/>
      <c r="AA8" s="45"/>
      <c r="AB8" s="45"/>
      <c r="AC8" s="45"/>
      <c r="AD8" s="45"/>
      <c r="AE8" s="45"/>
      <c r="AF8" s="45"/>
    </row>
    <row r="9" spans="1:32" s="46" customFormat="1" ht="7.5" customHeight="1" thickBot="1">
      <c r="A9" s="45"/>
      <c r="B9" s="229"/>
      <c r="D9" s="45"/>
      <c r="E9" s="45"/>
      <c r="F9" s="45"/>
      <c r="G9" s="45"/>
      <c r="H9" s="45"/>
      <c r="I9" s="94"/>
      <c r="J9" s="94"/>
      <c r="K9" s="93"/>
      <c r="L9" s="47"/>
      <c r="M9" s="45"/>
      <c r="N9" s="45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  <c r="AA9" s="45"/>
      <c r="AB9" s="45"/>
      <c r="AC9" s="45"/>
      <c r="AD9" s="45"/>
      <c r="AE9" s="45"/>
      <c r="AF9" s="45"/>
    </row>
    <row r="10" spans="1:32" s="46" customFormat="1" ht="12" customHeight="1">
      <c r="A10" s="45"/>
      <c r="B10" s="230"/>
      <c r="C10" s="234" t="s">
        <v>70</v>
      </c>
      <c r="D10" s="225"/>
      <c r="E10" s="267" t="s">
        <v>41</v>
      </c>
      <c r="F10" s="299"/>
      <c r="G10" s="267" t="s">
        <v>39</v>
      </c>
      <c r="H10" s="299"/>
      <c r="I10" s="222" t="s">
        <v>40</v>
      </c>
      <c r="J10" s="223"/>
      <c r="K10" s="288" t="s">
        <v>52</v>
      </c>
      <c r="L10" s="289"/>
      <c r="M10" s="222" t="s">
        <v>42</v>
      </c>
      <c r="N10" s="223"/>
      <c r="O10" s="222" t="s">
        <v>43</v>
      </c>
      <c r="P10" s="223"/>
      <c r="Q10" s="222" t="s">
        <v>44</v>
      </c>
      <c r="R10" s="223"/>
      <c r="S10" s="48"/>
      <c r="T10" s="48"/>
      <c r="U10" s="48"/>
      <c r="V10" s="48"/>
      <c r="W10" s="48"/>
      <c r="X10" s="48"/>
      <c r="Y10" s="48"/>
      <c r="Z10" s="49"/>
      <c r="AA10" s="45"/>
      <c r="AB10" s="45"/>
      <c r="AC10" s="45"/>
      <c r="AD10" s="45"/>
      <c r="AE10" s="45"/>
      <c r="AF10" s="45"/>
    </row>
    <row r="11" spans="1:32" s="46" customFormat="1" ht="15" customHeight="1" thickBot="1">
      <c r="A11" s="45"/>
      <c r="B11" s="230"/>
      <c r="C11" s="312" t="s">
        <v>71</v>
      </c>
      <c r="D11" s="313"/>
      <c r="E11" s="292">
        <f>D7*2</f>
        <v>1.57</v>
      </c>
      <c r="F11" s="293"/>
      <c r="G11" s="292">
        <f>D7*3</f>
        <v>2.355</v>
      </c>
      <c r="H11" s="293"/>
      <c r="I11" s="260">
        <f>D7*4</f>
        <v>3.14</v>
      </c>
      <c r="J11" s="261"/>
      <c r="K11" s="260">
        <f>D7*5</f>
        <v>3.9250000000000003</v>
      </c>
      <c r="L11" s="261"/>
      <c r="M11" s="260">
        <f>D7*6</f>
        <v>4.71</v>
      </c>
      <c r="N11" s="261"/>
      <c r="O11" s="260">
        <f>D7*7</f>
        <v>5.495</v>
      </c>
      <c r="P11" s="261"/>
      <c r="Q11" s="260">
        <f>D7*7.5</f>
        <v>5.8875</v>
      </c>
      <c r="R11" s="261"/>
      <c r="S11" s="48"/>
      <c r="T11" s="48"/>
      <c r="U11" s="48"/>
      <c r="V11" s="48"/>
      <c r="W11" s="82"/>
      <c r="X11" s="49"/>
      <c r="Y11" s="49"/>
      <c r="Z11" s="49"/>
      <c r="AA11" s="45"/>
      <c r="AB11" s="45"/>
      <c r="AC11" s="45"/>
      <c r="AD11" s="45"/>
      <c r="AE11" s="45"/>
      <c r="AF11" s="45"/>
    </row>
    <row r="12" spans="1:32" s="46" customFormat="1" ht="7.5" customHeight="1" thickBot="1">
      <c r="A12" s="45"/>
      <c r="B12" s="90"/>
      <c r="C12" s="90"/>
      <c r="D12" s="90"/>
      <c r="E12" s="96"/>
      <c r="F12" s="90"/>
      <c r="G12" s="90"/>
      <c r="H12" s="90"/>
      <c r="I12" s="90"/>
      <c r="J12" s="90"/>
      <c r="K12" s="90"/>
      <c r="L12" s="90"/>
      <c r="M12" s="90"/>
      <c r="N12" s="94"/>
      <c r="O12" s="97"/>
      <c r="P12" s="97"/>
      <c r="Q12" s="97"/>
      <c r="R12" s="97"/>
      <c r="S12" s="48"/>
      <c r="T12" s="48"/>
      <c r="U12" s="48"/>
      <c r="V12" s="48"/>
      <c r="W12" s="49"/>
      <c r="X12" s="49"/>
      <c r="Y12" s="49"/>
      <c r="Z12" s="49"/>
      <c r="AA12" s="45"/>
      <c r="AB12" s="45"/>
      <c r="AC12" s="45"/>
      <c r="AD12" s="45"/>
      <c r="AE12" s="45"/>
      <c r="AF12" s="45"/>
    </row>
    <row r="13" spans="1:26" s="46" customFormat="1" ht="11.25" customHeight="1">
      <c r="A13" s="45"/>
      <c r="B13" s="74" t="s">
        <v>37</v>
      </c>
      <c r="C13" s="288" t="s">
        <v>46</v>
      </c>
      <c r="D13" s="296"/>
      <c r="E13" s="296"/>
      <c r="F13" s="296"/>
      <c r="G13" s="296"/>
      <c r="H13" s="289"/>
      <c r="I13" s="267" t="s">
        <v>45</v>
      </c>
      <c r="J13" s="223"/>
      <c r="M13" s="262" t="s">
        <v>72</v>
      </c>
      <c r="N13" s="263"/>
      <c r="O13" s="262" t="s">
        <v>73</v>
      </c>
      <c r="P13" s="263"/>
      <c r="Q13" s="48"/>
      <c r="R13" s="48"/>
      <c r="S13" s="48"/>
      <c r="T13" s="48"/>
      <c r="U13" s="48"/>
      <c r="V13" s="48"/>
      <c r="W13" s="49"/>
      <c r="X13" s="49"/>
      <c r="Y13" s="49"/>
      <c r="Z13" s="48"/>
    </row>
    <row r="14" spans="1:26" s="46" customFormat="1" ht="11.25" customHeight="1" thickBot="1">
      <c r="A14" s="45"/>
      <c r="B14" s="75" t="s">
        <v>38</v>
      </c>
      <c r="C14" s="297" t="s">
        <v>4</v>
      </c>
      <c r="D14" s="298"/>
      <c r="E14" s="233" t="s">
        <v>47</v>
      </c>
      <c r="F14" s="233"/>
      <c r="G14" s="233" t="s">
        <v>48</v>
      </c>
      <c r="H14" s="281"/>
      <c r="I14" s="298" t="s">
        <v>35</v>
      </c>
      <c r="J14" s="281"/>
      <c r="L14" s="63"/>
      <c r="M14" s="264" t="s">
        <v>30</v>
      </c>
      <c r="N14" s="265"/>
      <c r="O14" s="264" t="s">
        <v>31</v>
      </c>
      <c r="P14" s="265"/>
      <c r="Q14" s="48"/>
      <c r="R14" s="48"/>
      <c r="S14" s="48"/>
      <c r="T14" s="48"/>
      <c r="U14" s="48"/>
      <c r="V14" s="48"/>
      <c r="W14" s="49"/>
      <c r="X14" s="49"/>
      <c r="Y14" s="49"/>
      <c r="Z14" s="48"/>
    </row>
    <row r="15" spans="2:26" s="45" customFormat="1" ht="21" customHeight="1" thickBot="1" thickTop="1">
      <c r="B15" s="79">
        <v>100</v>
      </c>
      <c r="C15" s="304">
        <f>K7*B15</f>
        <v>2.1765772213140453</v>
      </c>
      <c r="D15" s="329"/>
      <c r="E15" s="304">
        <f>M7*B15</f>
        <v>2.116</v>
      </c>
      <c r="F15" s="305"/>
      <c r="G15" s="304">
        <f>O7*B15</f>
        <v>2.2399999999999998</v>
      </c>
      <c r="H15" s="305"/>
      <c r="I15" s="302">
        <f>Q7*B15/1000</f>
        <v>0.6986500000000001</v>
      </c>
      <c r="J15" s="303"/>
      <c r="M15" s="300">
        <f>AC68</f>
        <v>4630</v>
      </c>
      <c r="N15" s="301"/>
      <c r="O15" s="300">
        <f>AD68</f>
        <v>7800</v>
      </c>
      <c r="P15" s="301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2:26" s="46" customFormat="1" ht="7.5" customHeight="1">
      <c r="B16" s="90"/>
      <c r="C16" s="90"/>
      <c r="D16" s="90"/>
      <c r="E16" s="239"/>
      <c r="F16" s="239"/>
      <c r="G16" s="239"/>
      <c r="H16" s="239"/>
      <c r="I16" s="239"/>
      <c r="J16" s="239"/>
      <c r="K16" s="90"/>
      <c r="Q16" s="48"/>
      <c r="R16" s="48"/>
      <c r="S16" s="48"/>
      <c r="T16" s="48"/>
      <c r="U16" s="48"/>
      <c r="V16" s="48"/>
      <c r="W16" s="49"/>
      <c r="X16" s="49"/>
      <c r="Y16" s="49"/>
      <c r="Z16" s="48"/>
    </row>
    <row r="17" spans="2:26" s="46" customFormat="1" ht="16.5" customHeight="1" thickBot="1">
      <c r="B17" s="77" t="s">
        <v>82</v>
      </c>
      <c r="E17" s="47"/>
      <c r="F17" s="47"/>
      <c r="G17" s="47"/>
      <c r="H17" s="47"/>
      <c r="I17" s="47"/>
      <c r="J17" s="47"/>
      <c r="Q17" s="48"/>
      <c r="R17" s="48"/>
      <c r="S17" s="48"/>
      <c r="T17" s="48"/>
      <c r="U17" s="48"/>
      <c r="V17" s="48"/>
      <c r="W17" s="48"/>
      <c r="X17" s="76"/>
      <c r="Y17" s="76"/>
      <c r="Z17" s="48"/>
    </row>
    <row r="18" spans="2:26" s="46" customFormat="1" ht="16.5" customHeight="1" thickBot="1">
      <c r="B18" s="88" t="s">
        <v>74</v>
      </c>
      <c r="C18" s="327" t="s">
        <v>76</v>
      </c>
      <c r="D18" s="328"/>
      <c r="E18" s="290" t="s">
        <v>78</v>
      </c>
      <c r="F18" s="291"/>
      <c r="G18" s="325" t="s">
        <v>80</v>
      </c>
      <c r="H18" s="326"/>
      <c r="I18" s="47"/>
      <c r="J18" s="47"/>
      <c r="Q18" s="48"/>
      <c r="R18" s="48"/>
      <c r="S18" s="48"/>
      <c r="T18" s="48"/>
      <c r="U18" s="48"/>
      <c r="V18" s="48"/>
      <c r="W18" s="48"/>
      <c r="X18" s="76"/>
      <c r="Y18" s="76"/>
      <c r="Z18" s="48"/>
    </row>
    <row r="19" spans="2:26" s="46" customFormat="1" ht="15" customHeight="1" thickBot="1" thickTop="1">
      <c r="B19" s="89" t="str">
        <f>IF(D7=0,B7,C7)</f>
        <v>已列出</v>
      </c>
      <c r="C19" s="294" t="e">
        <f>3.14*B19*B19/4</f>
        <v>#VALUE!</v>
      </c>
      <c r="D19" s="295"/>
      <c r="E19" s="323" t="e">
        <f>0.01749/C19</f>
        <v>#VALUE!</v>
      </c>
      <c r="F19" s="324"/>
      <c r="G19" s="294" t="e">
        <f>C19*1000*8.9/1000</f>
        <v>#VALUE!</v>
      </c>
      <c r="H19" s="295"/>
      <c r="N19" s="45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2:26" s="46" customFormat="1" ht="7.5" customHeight="1">
      <c r="B20" s="90"/>
      <c r="C20" s="90"/>
      <c r="D20" s="90"/>
      <c r="E20" s="96"/>
      <c r="F20" s="90"/>
      <c r="G20" s="90"/>
      <c r="H20" s="90"/>
      <c r="I20" s="90"/>
      <c r="J20" s="90"/>
      <c r="K20" s="90"/>
      <c r="N20" s="45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2:26" s="46" customFormat="1" ht="15" customHeight="1" thickBot="1">
      <c r="B21" s="77" t="s">
        <v>223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2:26" s="46" customFormat="1" ht="11.25" customHeight="1" thickBot="1">
      <c r="B22" s="320" t="s">
        <v>221</v>
      </c>
      <c r="C22" s="321"/>
      <c r="D22" s="322"/>
      <c r="E22" s="209">
        <v>15</v>
      </c>
      <c r="F22" s="210">
        <f>E22+10</f>
        <v>25</v>
      </c>
      <c r="G22" s="210">
        <f aca="true" t="shared" si="1" ref="G22:N22">F22+10</f>
        <v>35</v>
      </c>
      <c r="H22" s="210">
        <f t="shared" si="1"/>
        <v>45</v>
      </c>
      <c r="I22" s="87">
        <f t="shared" si="1"/>
        <v>55</v>
      </c>
      <c r="J22" s="87">
        <f t="shared" si="1"/>
        <v>65</v>
      </c>
      <c r="K22" s="87">
        <f t="shared" si="1"/>
        <v>75</v>
      </c>
      <c r="L22" s="87">
        <f t="shared" si="1"/>
        <v>85</v>
      </c>
      <c r="M22" s="87">
        <f t="shared" si="1"/>
        <v>95</v>
      </c>
      <c r="N22" s="87">
        <f t="shared" si="1"/>
        <v>105</v>
      </c>
      <c r="P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2:26" s="46" customFormat="1" ht="8.25" customHeight="1" hidden="1" thickTop="1">
      <c r="B23" s="196"/>
      <c r="C23" s="197"/>
      <c r="D23" s="198"/>
      <c r="E23" s="199">
        <v>0.0106</v>
      </c>
      <c r="F23" s="199">
        <v>0.0239</v>
      </c>
      <c r="G23" s="199">
        <v>0.0394</v>
      </c>
      <c r="H23" s="199">
        <v>0.0565</v>
      </c>
      <c r="I23" s="199">
        <v>0.0754</v>
      </c>
      <c r="J23" s="199">
        <v>0.0961</v>
      </c>
      <c r="K23" s="199">
        <v>0.1183</v>
      </c>
      <c r="L23" s="199">
        <v>0.1418</v>
      </c>
      <c r="M23" s="199">
        <v>0.1669</v>
      </c>
      <c r="N23" s="199">
        <v>0.1934</v>
      </c>
      <c r="P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2:26" s="46" customFormat="1" ht="14.25" customHeight="1" thickTop="1">
      <c r="B24" s="285" t="s">
        <v>215</v>
      </c>
      <c r="C24" s="316" t="s">
        <v>217</v>
      </c>
      <c r="D24" s="317"/>
      <c r="E24" s="193">
        <f>(E23*(($D$7/3.1415)^0.5*2)*3.1415/10*100*$D$7/0.01749)^0.5</f>
        <v>3.8655343271754106</v>
      </c>
      <c r="F24" s="193">
        <f aca="true" t="shared" si="2" ref="F24:N24">(F23*(($D$7/3.1415)^0.5*2)*3.1415/10*100*$D$7/0.01749)^0.5</f>
        <v>5.804376192786164</v>
      </c>
      <c r="G24" s="193">
        <f t="shared" si="2"/>
        <v>7.452546810484567</v>
      </c>
      <c r="H24" s="193">
        <f t="shared" si="2"/>
        <v>8.924436948326193</v>
      </c>
      <c r="I24" s="193">
        <f t="shared" si="2"/>
        <v>10.309610898202171</v>
      </c>
      <c r="J24" s="193">
        <f t="shared" si="2"/>
        <v>11.639070411570746</v>
      </c>
      <c r="K24" s="193">
        <f t="shared" si="2"/>
        <v>12.91364888428461</v>
      </c>
      <c r="L24" s="193">
        <f t="shared" si="2"/>
        <v>14.138219407591315</v>
      </c>
      <c r="M24" s="193">
        <f t="shared" si="2"/>
        <v>15.338566374824715</v>
      </c>
      <c r="N24" s="193">
        <f t="shared" si="2"/>
        <v>16.511435659001066</v>
      </c>
      <c r="P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2:26" s="46" customFormat="1" ht="14.25" customHeight="1" thickBot="1">
      <c r="B25" s="285"/>
      <c r="C25" s="308" t="s">
        <v>219</v>
      </c>
      <c r="D25" s="309"/>
      <c r="E25" s="194">
        <f aca="true" t="shared" si="3" ref="E25:N25">E24/$D$7</f>
        <v>4.924247550541924</v>
      </c>
      <c r="F25" s="85">
        <f t="shared" si="3"/>
        <v>7.394109799727597</v>
      </c>
      <c r="G25" s="85">
        <f t="shared" si="3"/>
        <v>9.49369020443894</v>
      </c>
      <c r="H25" s="85">
        <f t="shared" si="3"/>
        <v>11.368709488313621</v>
      </c>
      <c r="I25" s="85">
        <f t="shared" si="3"/>
        <v>13.133262290703403</v>
      </c>
      <c r="J25" s="91">
        <f t="shared" si="3"/>
        <v>14.826841288625154</v>
      </c>
      <c r="K25" s="91">
        <f t="shared" si="3"/>
        <v>16.450508132846636</v>
      </c>
      <c r="L25" s="91">
        <f t="shared" si="3"/>
        <v>18.01047058291887</v>
      </c>
      <c r="M25" s="91">
        <f t="shared" si="3"/>
        <v>19.539574999776708</v>
      </c>
      <c r="N25" s="91">
        <f t="shared" si="3"/>
        <v>21.03367599872747</v>
      </c>
      <c r="P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2:26" s="46" customFormat="1" ht="14.25" customHeight="1">
      <c r="B26" s="286" t="s">
        <v>216</v>
      </c>
      <c r="C26" s="318" t="s">
        <v>218</v>
      </c>
      <c r="D26" s="319"/>
      <c r="E26" s="193" t="e">
        <f>(E23*(($C$19/3.1415)^0.5*2)*3.1415/10*100*$C$19/0.01749)^0.5</f>
        <v>#VALUE!</v>
      </c>
      <c r="F26" s="193" t="e">
        <f aca="true" t="shared" si="4" ref="F26:N26">(F23*(($C$19/3.1415)^0.5*2)*3.1415/10*100*$C$19/0.01749)^0.5</f>
        <v>#VALUE!</v>
      </c>
      <c r="G26" s="193" t="e">
        <f t="shared" si="4"/>
        <v>#VALUE!</v>
      </c>
      <c r="H26" s="193" t="e">
        <f t="shared" si="4"/>
        <v>#VALUE!</v>
      </c>
      <c r="I26" s="193" t="e">
        <f t="shared" si="4"/>
        <v>#VALUE!</v>
      </c>
      <c r="J26" s="193" t="e">
        <f t="shared" si="4"/>
        <v>#VALUE!</v>
      </c>
      <c r="K26" s="193" t="e">
        <f t="shared" si="4"/>
        <v>#VALUE!</v>
      </c>
      <c r="L26" s="193" t="e">
        <f t="shared" si="4"/>
        <v>#VALUE!</v>
      </c>
      <c r="M26" s="193" t="e">
        <f t="shared" si="4"/>
        <v>#VALUE!</v>
      </c>
      <c r="N26" s="193" t="e">
        <f t="shared" si="4"/>
        <v>#VALUE!</v>
      </c>
      <c r="P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2:26" s="46" customFormat="1" ht="14.25" customHeight="1" thickBot="1">
      <c r="B27" s="287"/>
      <c r="C27" s="314" t="s">
        <v>220</v>
      </c>
      <c r="D27" s="315"/>
      <c r="E27" s="195" t="e">
        <f aca="true" t="shared" si="5" ref="E27:N27">E26/$C$19</f>
        <v>#VALUE!</v>
      </c>
      <c r="F27" s="84" t="e">
        <f t="shared" si="5"/>
        <v>#VALUE!</v>
      </c>
      <c r="G27" s="84" t="e">
        <f t="shared" si="5"/>
        <v>#VALUE!</v>
      </c>
      <c r="H27" s="84" t="e">
        <f t="shared" si="5"/>
        <v>#VALUE!</v>
      </c>
      <c r="I27" s="84" t="e">
        <f t="shared" si="5"/>
        <v>#VALUE!</v>
      </c>
      <c r="J27" s="92" t="e">
        <f t="shared" si="5"/>
        <v>#VALUE!</v>
      </c>
      <c r="K27" s="92" t="e">
        <f t="shared" si="5"/>
        <v>#VALUE!</v>
      </c>
      <c r="L27" s="92" t="e">
        <f t="shared" si="5"/>
        <v>#VALUE!</v>
      </c>
      <c r="M27" s="92" t="e">
        <f t="shared" si="5"/>
        <v>#VALUE!</v>
      </c>
      <c r="N27" s="92" t="e">
        <f t="shared" si="5"/>
        <v>#VALUE!</v>
      </c>
      <c r="P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2:14" s="51" customFormat="1" ht="7.5" customHeight="1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80"/>
      <c r="M28"/>
      <c r="N28" s="81"/>
    </row>
    <row r="29" spans="2:11" s="51" customFormat="1" ht="12.75" customHeight="1">
      <c r="B29" s="282" t="s">
        <v>69</v>
      </c>
      <c r="C29" s="283"/>
      <c r="D29" s="283"/>
      <c r="E29" s="283"/>
      <c r="F29" s="283"/>
      <c r="G29" s="283"/>
      <c r="H29" s="284"/>
      <c r="I29" s="252" t="s">
        <v>89</v>
      </c>
      <c r="J29" s="253"/>
      <c r="K29" s="253"/>
    </row>
    <row r="30" spans="2:11" s="51" customFormat="1" ht="10.5" customHeight="1">
      <c r="B30" s="54">
        <v>0.018</v>
      </c>
      <c r="C30" s="52">
        <v>0.1</v>
      </c>
      <c r="D30" s="52">
        <v>0.2</v>
      </c>
      <c r="E30" s="52">
        <v>0.5</v>
      </c>
      <c r="F30" s="52">
        <v>1</v>
      </c>
      <c r="G30" s="52">
        <v>2</v>
      </c>
      <c r="H30" s="53">
        <v>5</v>
      </c>
      <c r="I30" s="252"/>
      <c r="J30" s="253"/>
      <c r="K30" s="253"/>
    </row>
    <row r="31" spans="2:18" s="51" customFormat="1" ht="10.5" customHeight="1">
      <c r="B31" s="54">
        <v>0.02</v>
      </c>
      <c r="C31" s="52">
        <v>0.112</v>
      </c>
      <c r="D31" s="52">
        <v>0.212</v>
      </c>
      <c r="E31" s="54">
        <v>0.53</v>
      </c>
      <c r="F31" s="54">
        <v>1.06</v>
      </c>
      <c r="G31" s="54">
        <v>2.12</v>
      </c>
      <c r="H31" s="53">
        <v>5.6</v>
      </c>
      <c r="I31" s="254" t="s">
        <v>84</v>
      </c>
      <c r="J31" s="256" t="s">
        <v>209</v>
      </c>
      <c r="K31" s="256"/>
      <c r="L31" s="256"/>
      <c r="M31" s="256"/>
      <c r="N31" s="256"/>
      <c r="O31" s="256"/>
      <c r="P31" s="256"/>
      <c r="Q31" s="256"/>
      <c r="R31" s="256"/>
    </row>
    <row r="32" spans="2:18" s="51" customFormat="1" ht="10.5" customHeight="1">
      <c r="B32" s="54">
        <v>0.022</v>
      </c>
      <c r="C32" s="54">
        <v>0.118</v>
      </c>
      <c r="D32" s="52">
        <v>0.224</v>
      </c>
      <c r="E32" s="52">
        <v>0.56</v>
      </c>
      <c r="F32" s="52">
        <v>1.12</v>
      </c>
      <c r="G32" s="52">
        <v>2.24</v>
      </c>
      <c r="H32" s="53">
        <v>6.3</v>
      </c>
      <c r="I32" s="254"/>
      <c r="J32" s="256"/>
      <c r="K32" s="256"/>
      <c r="L32" s="256"/>
      <c r="M32" s="256"/>
      <c r="N32" s="256"/>
      <c r="O32" s="256"/>
      <c r="P32" s="256"/>
      <c r="Q32" s="256"/>
      <c r="R32" s="256"/>
    </row>
    <row r="33" spans="2:18" s="51" customFormat="1" ht="10.5" customHeight="1">
      <c r="B33" s="54">
        <v>0.025</v>
      </c>
      <c r="C33" s="52">
        <v>0.125</v>
      </c>
      <c r="D33" s="52">
        <v>0.236</v>
      </c>
      <c r="E33" s="54">
        <v>0.6</v>
      </c>
      <c r="F33" s="54">
        <v>1.18</v>
      </c>
      <c r="G33" s="54">
        <v>2.36</v>
      </c>
      <c r="H33" s="53">
        <v>7.1</v>
      </c>
      <c r="I33" s="254"/>
      <c r="J33" s="256"/>
      <c r="K33" s="256"/>
      <c r="L33" s="256"/>
      <c r="M33" s="256"/>
      <c r="N33" s="256"/>
      <c r="O33" s="256"/>
      <c r="P33" s="256"/>
      <c r="Q33" s="256"/>
      <c r="R33" s="256"/>
    </row>
    <row r="34" spans="2:18" s="51" customFormat="1" ht="10.5" customHeight="1">
      <c r="B34" s="54">
        <v>0.028</v>
      </c>
      <c r="C34" s="54">
        <v>0.132</v>
      </c>
      <c r="D34" s="52">
        <v>0.25</v>
      </c>
      <c r="E34" s="52">
        <v>0.63</v>
      </c>
      <c r="F34" s="52">
        <v>1.25</v>
      </c>
      <c r="G34" s="52">
        <v>2.5</v>
      </c>
      <c r="H34" s="53">
        <v>8</v>
      </c>
      <c r="I34" s="254" t="s">
        <v>85</v>
      </c>
      <c r="J34" s="255" t="s">
        <v>210</v>
      </c>
      <c r="K34" s="255"/>
      <c r="L34" s="255"/>
      <c r="M34" s="255"/>
      <c r="N34" s="255"/>
      <c r="O34" s="255"/>
      <c r="P34" s="255"/>
      <c r="Q34" s="255"/>
      <c r="R34" s="255"/>
    </row>
    <row r="35" spans="2:18" s="51" customFormat="1" ht="10.5" customHeight="1">
      <c r="B35" s="54">
        <v>0.032</v>
      </c>
      <c r="C35" s="52">
        <v>0.14</v>
      </c>
      <c r="D35" s="52">
        <v>0.265</v>
      </c>
      <c r="E35" s="54">
        <v>0.67</v>
      </c>
      <c r="F35" s="54">
        <v>1.32</v>
      </c>
      <c r="G35" s="53">
        <v>2.8</v>
      </c>
      <c r="H35" s="53">
        <v>9</v>
      </c>
      <c r="I35" s="254"/>
      <c r="J35" s="255"/>
      <c r="K35" s="255"/>
      <c r="L35" s="255"/>
      <c r="M35" s="255"/>
      <c r="N35" s="255"/>
      <c r="O35" s="255"/>
      <c r="P35" s="255"/>
      <c r="Q35" s="255"/>
      <c r="R35" s="255"/>
    </row>
    <row r="36" spans="2:18" s="51" customFormat="1" ht="10.5" customHeight="1">
      <c r="B36" s="54">
        <v>0.036</v>
      </c>
      <c r="C36" s="54">
        <v>0.15</v>
      </c>
      <c r="D36" s="52">
        <v>0.28</v>
      </c>
      <c r="E36" s="52">
        <v>0.71</v>
      </c>
      <c r="F36" s="52">
        <v>1.4</v>
      </c>
      <c r="G36" s="53">
        <v>3.15</v>
      </c>
      <c r="H36" s="53">
        <v>10</v>
      </c>
      <c r="I36" s="257" t="s">
        <v>86</v>
      </c>
      <c r="J36" s="256" t="s">
        <v>222</v>
      </c>
      <c r="K36" s="256"/>
      <c r="L36" s="256"/>
      <c r="M36" s="256"/>
      <c r="N36" s="256"/>
      <c r="O36" s="256"/>
      <c r="P36" s="256"/>
      <c r="Q36" s="256"/>
      <c r="R36" s="256"/>
    </row>
    <row r="37" spans="2:18" s="51" customFormat="1" ht="10.5" customHeight="1">
      <c r="B37" s="52">
        <v>0.04</v>
      </c>
      <c r="C37" s="52">
        <v>0.16</v>
      </c>
      <c r="D37" s="52">
        <v>0.3</v>
      </c>
      <c r="E37" s="54">
        <v>0.75</v>
      </c>
      <c r="F37" s="54">
        <v>1.5</v>
      </c>
      <c r="G37" s="53">
        <v>3.55</v>
      </c>
      <c r="H37" s="53">
        <v>11.2</v>
      </c>
      <c r="I37" s="257"/>
      <c r="J37" s="256"/>
      <c r="K37" s="256"/>
      <c r="L37" s="256"/>
      <c r="M37" s="256"/>
      <c r="N37" s="256"/>
      <c r="O37" s="256"/>
      <c r="P37" s="256"/>
      <c r="Q37" s="256"/>
      <c r="R37" s="256"/>
    </row>
    <row r="38" spans="2:18" s="51" customFormat="1" ht="10.5" customHeight="1">
      <c r="B38" s="54">
        <v>0.045</v>
      </c>
      <c r="C38" s="54">
        <v>0.17</v>
      </c>
      <c r="D38" s="52">
        <v>0.315</v>
      </c>
      <c r="E38" s="52">
        <v>0.8</v>
      </c>
      <c r="F38" s="52">
        <v>1.6</v>
      </c>
      <c r="G38" s="53">
        <v>4</v>
      </c>
      <c r="H38" s="49"/>
      <c r="I38" s="257"/>
      <c r="J38" s="256"/>
      <c r="K38" s="256"/>
      <c r="L38" s="256"/>
      <c r="M38" s="256"/>
      <c r="N38" s="256"/>
      <c r="O38" s="256"/>
      <c r="P38" s="256"/>
      <c r="Q38" s="256"/>
      <c r="R38" s="256"/>
    </row>
    <row r="39" spans="2:18" s="51" customFormat="1" ht="10.5" customHeight="1">
      <c r="B39" s="52">
        <v>0.05</v>
      </c>
      <c r="C39" s="52">
        <v>0.18</v>
      </c>
      <c r="D39" s="52">
        <v>0.335</v>
      </c>
      <c r="E39" s="54">
        <v>0.85</v>
      </c>
      <c r="F39" s="54">
        <v>1.7</v>
      </c>
      <c r="G39" s="53">
        <v>4.5</v>
      </c>
      <c r="H39" s="48"/>
      <c r="I39" s="257" t="s">
        <v>87</v>
      </c>
      <c r="J39" s="255" t="s">
        <v>88</v>
      </c>
      <c r="K39" s="255"/>
      <c r="L39" s="255"/>
      <c r="M39" s="255"/>
      <c r="N39" s="255"/>
      <c r="O39" s="255"/>
      <c r="P39" s="255"/>
      <c r="Q39" s="255"/>
      <c r="R39" s="255"/>
    </row>
    <row r="40" spans="2:18" s="51" customFormat="1" ht="10.5" customHeight="1">
      <c r="B40" s="52">
        <v>0.056</v>
      </c>
      <c r="C40" s="54">
        <v>0.19</v>
      </c>
      <c r="D40" s="52">
        <v>0.355</v>
      </c>
      <c r="E40" s="52">
        <v>0.9</v>
      </c>
      <c r="F40" s="52">
        <v>1.8</v>
      </c>
      <c r="G40" s="48"/>
      <c r="H40" s="48"/>
      <c r="I40" s="257"/>
      <c r="J40" s="255"/>
      <c r="K40" s="255"/>
      <c r="L40" s="255"/>
      <c r="M40" s="255"/>
      <c r="N40" s="255"/>
      <c r="O40" s="255"/>
      <c r="P40" s="255"/>
      <c r="Q40" s="255"/>
      <c r="R40" s="255"/>
    </row>
    <row r="41" spans="2:8" s="51" customFormat="1" ht="10.5" customHeight="1">
      <c r="B41" s="52">
        <v>0.063</v>
      </c>
      <c r="C41" s="48"/>
      <c r="D41" s="52">
        <v>0.375</v>
      </c>
      <c r="E41" s="54">
        <v>0.95</v>
      </c>
      <c r="F41" s="54">
        <v>1.9</v>
      </c>
      <c r="G41" s="48"/>
      <c r="H41" s="48"/>
    </row>
    <row r="42" spans="2:8" s="51" customFormat="1" ht="10.5" customHeight="1">
      <c r="B42" s="52">
        <v>0.071</v>
      </c>
      <c r="C42" s="48"/>
      <c r="D42" s="52">
        <v>0.4</v>
      </c>
      <c r="E42" s="55"/>
      <c r="F42" s="48"/>
      <c r="G42" s="48"/>
      <c r="H42" s="48"/>
    </row>
    <row r="43" spans="2:8" s="51" customFormat="1" ht="10.5" customHeight="1">
      <c r="B43" s="52">
        <v>0.08</v>
      </c>
      <c r="C43" s="48"/>
      <c r="D43" s="52">
        <v>0.425</v>
      </c>
      <c r="E43" s="55"/>
      <c r="F43" s="48"/>
      <c r="G43" s="48"/>
      <c r="H43" s="48"/>
    </row>
    <row r="44" spans="2:26" s="46" customFormat="1" ht="10.5" customHeight="1">
      <c r="B44" s="52">
        <v>0.09</v>
      </c>
      <c r="C44" s="48"/>
      <c r="D44" s="52">
        <v>0.45</v>
      </c>
      <c r="E44" s="55"/>
      <c r="F44" s="48"/>
      <c r="G44" s="48"/>
      <c r="H44" s="48"/>
      <c r="Q44" s="190" t="s">
        <v>211</v>
      </c>
      <c r="R44" s="190" t="s">
        <v>214</v>
      </c>
      <c r="S44" s="191"/>
      <c r="T44" s="49"/>
      <c r="U44" s="49"/>
      <c r="V44" s="48"/>
      <c r="W44" s="48"/>
      <c r="X44" s="48"/>
      <c r="Y44" s="48"/>
      <c r="Z44" s="48"/>
    </row>
    <row r="45" spans="2:26" s="46" customFormat="1" ht="10.5" customHeight="1">
      <c r="B45" s="48"/>
      <c r="C45" s="48"/>
      <c r="D45" s="52">
        <v>0.475</v>
      </c>
      <c r="E45" s="55"/>
      <c r="F45" s="48"/>
      <c r="G45" s="48"/>
      <c r="H45" s="48"/>
      <c r="I45" s="45"/>
      <c r="Q45" s="190" t="s">
        <v>212</v>
      </c>
      <c r="R45" s="192" t="s">
        <v>213</v>
      </c>
      <c r="S45" s="190"/>
      <c r="T45" s="56"/>
      <c r="U45" s="49"/>
      <c r="V45" s="48"/>
      <c r="W45" s="48"/>
      <c r="X45" s="48"/>
      <c r="Y45" s="48"/>
      <c r="Z45" s="48"/>
    </row>
    <row r="46" spans="9:21" ht="12" customHeight="1">
      <c r="I46" s="19"/>
      <c r="T46" s="28"/>
      <c r="U46" s="23"/>
    </row>
    <row r="47" spans="1:21" ht="11.25" customHeight="1">
      <c r="A47" s="65"/>
      <c r="T47" s="66"/>
      <c r="U47" s="23"/>
    </row>
    <row r="48" spans="19:21" ht="15">
      <c r="S48" s="28"/>
      <c r="T48" s="28"/>
      <c r="U48" s="23"/>
    </row>
    <row r="49" spans="19:21" ht="15">
      <c r="S49" s="28"/>
      <c r="T49" s="28"/>
      <c r="U49" s="23"/>
    </row>
    <row r="50" spans="19:21" ht="15">
      <c r="S50" s="28"/>
      <c r="T50" s="28"/>
      <c r="U50" s="23"/>
    </row>
    <row r="51" spans="2:21" ht="15">
      <c r="B51" s="200"/>
      <c r="S51" s="28"/>
      <c r="T51" s="28"/>
      <c r="U51" s="23"/>
    </row>
    <row r="52" spans="19:21" ht="15">
      <c r="S52" s="28"/>
      <c r="T52" s="28"/>
      <c r="U52" s="23"/>
    </row>
    <row r="53" spans="2:21" ht="15">
      <c r="B53" s="200"/>
      <c r="C53" s="200"/>
      <c r="S53" s="28"/>
      <c r="T53" s="28"/>
      <c r="U53" s="23"/>
    </row>
    <row r="54" spans="19:21" ht="15">
      <c r="S54" s="28"/>
      <c r="T54" s="28"/>
      <c r="U54" s="23"/>
    </row>
    <row r="55" spans="2:21" ht="15">
      <c r="B55" s="200"/>
      <c r="C55" s="200"/>
      <c r="D55" s="200"/>
      <c r="S55" s="28"/>
      <c r="T55" s="28"/>
      <c r="U55" s="23"/>
    </row>
    <row r="56" spans="19:21" ht="15">
      <c r="S56" s="28"/>
      <c r="T56" s="28"/>
      <c r="U56" s="23"/>
    </row>
    <row r="57" spans="2:21" ht="15">
      <c r="B57" s="200"/>
      <c r="C57" s="200"/>
      <c r="D57" s="200"/>
      <c r="E57" s="201"/>
      <c r="S57" s="28"/>
      <c r="T57" s="28"/>
      <c r="U57" s="23"/>
    </row>
    <row r="58" spans="19:21" ht="15">
      <c r="S58" s="28"/>
      <c r="T58" s="28"/>
      <c r="U58" s="23"/>
    </row>
    <row r="59" spans="2:21" ht="15">
      <c r="B59" s="200"/>
      <c r="C59" s="200"/>
      <c r="D59" s="200"/>
      <c r="E59" s="201"/>
      <c r="F59" s="200"/>
      <c r="S59" s="28"/>
      <c r="T59" s="28"/>
      <c r="U59" s="23"/>
    </row>
    <row r="60" spans="19:21" ht="15">
      <c r="S60" s="28"/>
      <c r="T60" s="28"/>
      <c r="U60" s="23"/>
    </row>
    <row r="61" spans="2:21" ht="14.25">
      <c r="B61" s="200"/>
      <c r="C61" s="202"/>
      <c r="D61" s="202"/>
      <c r="E61" s="202"/>
      <c r="F61" s="202"/>
      <c r="G61" s="202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28"/>
      <c r="T61" s="28"/>
      <c r="U61" s="23"/>
    </row>
    <row r="62" spans="2:21" ht="14.25">
      <c r="B62" s="8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8"/>
      <c r="T62" s="28"/>
      <c r="U62" s="23"/>
    </row>
    <row r="63" spans="2:30" ht="14.25">
      <c r="B63" s="20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5"/>
      <c r="T63" s="205"/>
      <c r="U63" s="206"/>
      <c r="V63" s="207"/>
      <c r="W63" s="207"/>
      <c r="X63" s="207"/>
      <c r="Y63" s="207"/>
      <c r="Z63" s="207"/>
      <c r="AA63" s="200"/>
      <c r="AB63" s="200"/>
      <c r="AC63" s="200"/>
      <c r="AD63" s="200"/>
    </row>
    <row r="64" spans="5:21" ht="14.25">
      <c r="E64"/>
      <c r="N64"/>
      <c r="O64"/>
      <c r="P64"/>
      <c r="Q64"/>
      <c r="R64"/>
      <c r="S64" s="28"/>
      <c r="T64" s="28"/>
      <c r="U64" s="23"/>
    </row>
    <row r="65" spans="2:30" ht="15">
      <c r="B65" s="61" t="s">
        <v>49</v>
      </c>
      <c r="D65" t="s">
        <v>51</v>
      </c>
      <c r="L65" s="26"/>
      <c r="M65" s="21"/>
      <c r="N65" s="251" t="s">
        <v>26</v>
      </c>
      <c r="O65" s="251"/>
      <c r="P65" s="20"/>
      <c r="Q65" s="62" t="s">
        <v>50</v>
      </c>
      <c r="R65" s="20"/>
      <c r="S65" t="s">
        <v>51</v>
      </c>
      <c r="T65" s="28"/>
      <c r="U65" s="23"/>
      <c r="AB65" s="21"/>
      <c r="AC65" s="251" t="s">
        <v>26</v>
      </c>
      <c r="AD65" s="251"/>
    </row>
    <row r="66" spans="2:30" ht="15">
      <c r="B66" s="1" t="s">
        <v>3</v>
      </c>
      <c r="C66" s="1" t="s">
        <v>7</v>
      </c>
      <c r="D66" s="1" t="s">
        <v>9</v>
      </c>
      <c r="E66" s="1" t="s">
        <v>10</v>
      </c>
      <c r="F66" s="258" t="s">
        <v>15</v>
      </c>
      <c r="G66" s="259"/>
      <c r="H66" s="259"/>
      <c r="I66" s="258" t="s">
        <v>16</v>
      </c>
      <c r="J66" s="259"/>
      <c r="K66" s="259"/>
      <c r="L66" s="18" t="s">
        <v>33</v>
      </c>
      <c r="M66" s="18" t="s">
        <v>27</v>
      </c>
      <c r="N66" s="18" t="s">
        <v>28</v>
      </c>
      <c r="O66" s="18" t="s">
        <v>29</v>
      </c>
      <c r="Q66" s="1" t="s">
        <v>3</v>
      </c>
      <c r="R66" s="1" t="s">
        <v>7</v>
      </c>
      <c r="S66" s="1" t="s">
        <v>9</v>
      </c>
      <c r="T66" s="1" t="s">
        <v>10</v>
      </c>
      <c r="U66" s="258" t="s">
        <v>15</v>
      </c>
      <c r="V66" s="259"/>
      <c r="W66" s="259"/>
      <c r="X66" s="258" t="s">
        <v>16</v>
      </c>
      <c r="Y66" s="259"/>
      <c r="Z66" s="259"/>
      <c r="AA66" s="18" t="s">
        <v>33</v>
      </c>
      <c r="AB66" s="18" t="s">
        <v>27</v>
      </c>
      <c r="AC66" s="18" t="s">
        <v>28</v>
      </c>
      <c r="AD66" s="18" t="s">
        <v>29</v>
      </c>
    </row>
    <row r="67" spans="2:30" ht="15.75" thickBot="1">
      <c r="B67" s="35" t="s">
        <v>13</v>
      </c>
      <c r="C67" s="35" t="s">
        <v>8</v>
      </c>
      <c r="D67" s="35" t="s">
        <v>11</v>
      </c>
      <c r="E67" s="36" t="s">
        <v>12</v>
      </c>
      <c r="F67" s="35" t="s">
        <v>2</v>
      </c>
      <c r="G67" s="35" t="s">
        <v>1</v>
      </c>
      <c r="H67" s="35" t="s">
        <v>0</v>
      </c>
      <c r="I67" s="35" t="s">
        <v>4</v>
      </c>
      <c r="J67" s="35" t="s">
        <v>5</v>
      </c>
      <c r="K67" s="35" t="s">
        <v>6</v>
      </c>
      <c r="L67" s="37" t="s">
        <v>32</v>
      </c>
      <c r="M67" s="37" t="s">
        <v>53</v>
      </c>
      <c r="N67" s="37" t="s">
        <v>53</v>
      </c>
      <c r="O67" s="37" t="s">
        <v>54</v>
      </c>
      <c r="Q67" s="35" t="s">
        <v>13</v>
      </c>
      <c r="R67" s="35" t="s">
        <v>8</v>
      </c>
      <c r="S67" s="35" t="s">
        <v>11</v>
      </c>
      <c r="T67" s="36" t="s">
        <v>12</v>
      </c>
      <c r="U67" s="35" t="s">
        <v>2</v>
      </c>
      <c r="V67" s="35" t="s">
        <v>1</v>
      </c>
      <c r="W67" s="35" t="s">
        <v>0</v>
      </c>
      <c r="X67" s="35" t="s">
        <v>4</v>
      </c>
      <c r="Y67" s="35" t="s">
        <v>5</v>
      </c>
      <c r="Z67" s="35" t="s">
        <v>6</v>
      </c>
      <c r="AA67" s="37" t="s">
        <v>32</v>
      </c>
      <c r="AB67" s="37" t="s">
        <v>53</v>
      </c>
      <c r="AC67" s="37" t="s">
        <v>53</v>
      </c>
      <c r="AD67" s="37" t="s">
        <v>54</v>
      </c>
    </row>
    <row r="68" spans="2:30" ht="15.75" thickTop="1">
      <c r="B68" s="38">
        <v>0.018</v>
      </c>
      <c r="C68" s="39">
        <f>3.1415926*B68*B68/4</f>
        <v>0.0002544690006</v>
      </c>
      <c r="D68" s="40" t="s">
        <v>20</v>
      </c>
      <c r="E68" s="40" t="s">
        <v>20</v>
      </c>
      <c r="F68" s="41">
        <v>0.022</v>
      </c>
      <c r="G68" s="38">
        <v>0.024</v>
      </c>
      <c r="H68" s="38" t="s">
        <v>14</v>
      </c>
      <c r="I68" s="42">
        <f>1/58.527/C68</f>
        <v>67.1442539053036</v>
      </c>
      <c r="J68" s="42">
        <v>60.46</v>
      </c>
      <c r="K68" s="42">
        <v>73.89</v>
      </c>
      <c r="L68" s="43">
        <f>C68/100*100000*8.9/1000</f>
        <v>0.00226477410534</v>
      </c>
      <c r="M68" s="71" t="s">
        <v>56</v>
      </c>
      <c r="N68" s="71" t="s">
        <v>56</v>
      </c>
      <c r="O68" s="71" t="s">
        <v>56</v>
      </c>
      <c r="Q68" s="32">
        <f aca="true" t="shared" si="6" ref="Q68:Q99">IF($B$7=B68,B68,Q69)</f>
        <v>1</v>
      </c>
      <c r="R68" s="33">
        <f aca="true" t="shared" si="7" ref="R68:R99">IF(Q68=B68,C68,R69)</f>
        <v>0.785</v>
      </c>
      <c r="S68" s="34">
        <f aca="true" t="shared" si="8" ref="S68:S99">IF(Q68=B68,D68,S69)</f>
        <v>18</v>
      </c>
      <c r="T68" s="34">
        <f aca="true" t="shared" si="9" ref="T68:T99">IF(Q68=B68,E68,T69)</f>
        <v>19</v>
      </c>
      <c r="U68" s="32">
        <f aca="true" t="shared" si="10" ref="U68:U99">IF(Q68=B68,F68,U69)</f>
        <v>1.062</v>
      </c>
      <c r="V68" s="32">
        <f aca="true" t="shared" si="11" ref="V68:V99">IF(Q68=B68,G68,V69)</f>
        <v>1.094</v>
      </c>
      <c r="W68" s="32">
        <f aca="true" t="shared" si="12" ref="W68:W99">IF(Q68=B68,H68,W69)</f>
        <v>1.124</v>
      </c>
      <c r="X68" s="32">
        <f aca="true" t="shared" si="13" ref="X68:X99">IF(Q68=B68,I68,X69)</f>
        <v>0.021765772213140452</v>
      </c>
      <c r="Y68" s="32">
        <f aca="true" t="shared" si="14" ref="Y68:Y99">IF(Q68=B68,J68,Y69)</f>
        <v>0.02116</v>
      </c>
      <c r="Z68" s="32">
        <f aca="true" t="shared" si="15" ref="Z68:Z99">IF(Q68=B68,K68,Z69)</f>
        <v>0.0224</v>
      </c>
      <c r="AA68" s="32">
        <f aca="true" t="shared" si="16" ref="AA68:AA99">IF(Q68=B68,L68,AA69)</f>
        <v>6.986500000000001</v>
      </c>
      <c r="AB68" s="73">
        <f>IF(Q68=B68,M68,AB69)</f>
        <v>21210</v>
      </c>
      <c r="AC68" s="73">
        <f>IF(Q68=B68,N68,AC69)</f>
        <v>4630</v>
      </c>
      <c r="AD68" s="73">
        <f>IF(Q68=B68,O68,AD69)</f>
        <v>7800</v>
      </c>
    </row>
    <row r="69" spans="2:30" ht="15">
      <c r="B69" s="5">
        <v>0.02</v>
      </c>
      <c r="C69" s="10">
        <f aca="true" t="shared" si="17" ref="C69:C85">3.1415926*B69*B69/4</f>
        <v>0.00031415926000000004</v>
      </c>
      <c r="D69" s="15" t="s">
        <v>20</v>
      </c>
      <c r="E69" s="15" t="s">
        <v>20</v>
      </c>
      <c r="F69" s="14">
        <v>0.024</v>
      </c>
      <c r="G69" s="5">
        <v>0.027</v>
      </c>
      <c r="H69" s="5" t="s">
        <v>14</v>
      </c>
      <c r="I69" s="4">
        <f aca="true" t="shared" si="18" ref="I69:I132">1/58.527/C69</f>
        <v>54.38684566329591</v>
      </c>
      <c r="J69" s="4">
        <v>48.97</v>
      </c>
      <c r="K69" s="4">
        <v>59.85</v>
      </c>
      <c r="L69" s="9">
        <f aca="true" t="shared" si="19" ref="L69:L132">C69/100*100000*8.9/1000</f>
        <v>0.0027960174140000005</v>
      </c>
      <c r="M69" s="71" t="s">
        <v>56</v>
      </c>
      <c r="N69" s="71" t="s">
        <v>56</v>
      </c>
      <c r="O69" s="71" t="s">
        <v>56</v>
      </c>
      <c r="Q69" s="29">
        <f t="shared" si="6"/>
        <v>1</v>
      </c>
      <c r="R69" s="30">
        <f t="shared" si="7"/>
        <v>0.785</v>
      </c>
      <c r="S69" s="31">
        <f t="shared" si="8"/>
        <v>18</v>
      </c>
      <c r="T69" s="31">
        <f t="shared" si="9"/>
        <v>19</v>
      </c>
      <c r="U69" s="29">
        <f t="shared" si="10"/>
        <v>1.062</v>
      </c>
      <c r="V69" s="29">
        <f t="shared" si="11"/>
        <v>1.094</v>
      </c>
      <c r="W69" s="29">
        <f t="shared" si="12"/>
        <v>1.124</v>
      </c>
      <c r="X69" s="29">
        <f t="shared" si="13"/>
        <v>0.021765772213140452</v>
      </c>
      <c r="Y69" s="29">
        <f t="shared" si="14"/>
        <v>0.02116</v>
      </c>
      <c r="Z69" s="29">
        <f t="shared" si="15"/>
        <v>0.0224</v>
      </c>
      <c r="AA69" s="29">
        <f t="shared" si="16"/>
        <v>6.986500000000001</v>
      </c>
      <c r="AB69" s="73">
        <f aca="true" t="shared" si="20" ref="AB69:AB84">IF(Q69=B69,M69,AB70)</f>
        <v>21210</v>
      </c>
      <c r="AC69" s="73">
        <f aca="true" t="shared" si="21" ref="AC69:AC84">IF(Q69=B69,N69,AC70)</f>
        <v>4630</v>
      </c>
      <c r="AD69" s="73">
        <f aca="true" t="shared" si="22" ref="AD69:AD84">IF(Q69=B69,O69,AD70)</f>
        <v>7800</v>
      </c>
    </row>
    <row r="70" spans="2:30" ht="15">
      <c r="B70" s="5">
        <v>0.022</v>
      </c>
      <c r="C70" s="10">
        <f t="shared" si="17"/>
        <v>0.0003801327045999999</v>
      </c>
      <c r="D70" s="15" t="s">
        <v>20</v>
      </c>
      <c r="E70" s="15" t="s">
        <v>20</v>
      </c>
      <c r="F70" s="14">
        <v>0.027</v>
      </c>
      <c r="G70" s="5">
        <v>0.03</v>
      </c>
      <c r="H70" s="5" t="s">
        <v>14</v>
      </c>
      <c r="I70" s="4">
        <f t="shared" si="18"/>
        <v>44.947806333302424</v>
      </c>
      <c r="J70" s="4">
        <v>40.47</v>
      </c>
      <c r="K70" s="4">
        <v>49.47</v>
      </c>
      <c r="L70" s="9">
        <f t="shared" si="19"/>
        <v>0.00338318107094</v>
      </c>
      <c r="M70" s="71" t="s">
        <v>56</v>
      </c>
      <c r="N70" s="71" t="s">
        <v>56</v>
      </c>
      <c r="O70" s="71" t="s">
        <v>56</v>
      </c>
      <c r="Q70" s="29">
        <f t="shared" si="6"/>
        <v>1</v>
      </c>
      <c r="R70" s="30">
        <f t="shared" si="7"/>
        <v>0.785</v>
      </c>
      <c r="S70" s="31">
        <f t="shared" si="8"/>
        <v>18</v>
      </c>
      <c r="T70" s="31">
        <f t="shared" si="9"/>
        <v>19</v>
      </c>
      <c r="U70" s="29">
        <f t="shared" si="10"/>
        <v>1.062</v>
      </c>
      <c r="V70" s="29">
        <f t="shared" si="11"/>
        <v>1.094</v>
      </c>
      <c r="W70" s="29">
        <f t="shared" si="12"/>
        <v>1.124</v>
      </c>
      <c r="X70" s="29">
        <f t="shared" si="13"/>
        <v>0.021765772213140452</v>
      </c>
      <c r="Y70" s="29">
        <f t="shared" si="14"/>
        <v>0.02116</v>
      </c>
      <c r="Z70" s="29">
        <f t="shared" si="15"/>
        <v>0.0224</v>
      </c>
      <c r="AA70" s="29">
        <f t="shared" si="16"/>
        <v>6.986500000000001</v>
      </c>
      <c r="AB70" s="73">
        <f t="shared" si="20"/>
        <v>21210</v>
      </c>
      <c r="AC70" s="73">
        <f t="shared" si="21"/>
        <v>4630</v>
      </c>
      <c r="AD70" s="73">
        <f t="shared" si="22"/>
        <v>7800</v>
      </c>
    </row>
    <row r="71" spans="2:30" ht="15">
      <c r="B71" s="5">
        <v>0.025</v>
      </c>
      <c r="C71" s="10">
        <f t="shared" si="17"/>
        <v>0.0004908738437500001</v>
      </c>
      <c r="D71" s="15" t="s">
        <v>20</v>
      </c>
      <c r="E71" s="15" t="s">
        <v>20</v>
      </c>
      <c r="F71" s="14">
        <v>0.031</v>
      </c>
      <c r="G71" s="5">
        <v>0.034</v>
      </c>
      <c r="H71" s="5" t="s">
        <v>14</v>
      </c>
      <c r="I71" s="4">
        <f t="shared" si="18"/>
        <v>34.807581224509384</v>
      </c>
      <c r="J71" s="4">
        <v>31.34</v>
      </c>
      <c r="K71" s="4">
        <v>38.31</v>
      </c>
      <c r="L71" s="9">
        <f t="shared" si="19"/>
        <v>0.004368777209375001</v>
      </c>
      <c r="M71" s="71" t="s">
        <v>56</v>
      </c>
      <c r="N71" s="71" t="s">
        <v>56</v>
      </c>
      <c r="O71" s="71" t="s">
        <v>56</v>
      </c>
      <c r="Q71" s="29">
        <f t="shared" si="6"/>
        <v>1</v>
      </c>
      <c r="R71" s="30">
        <f t="shared" si="7"/>
        <v>0.785</v>
      </c>
      <c r="S71" s="31">
        <f t="shared" si="8"/>
        <v>18</v>
      </c>
      <c r="T71" s="31">
        <f t="shared" si="9"/>
        <v>19</v>
      </c>
      <c r="U71" s="29">
        <f t="shared" si="10"/>
        <v>1.062</v>
      </c>
      <c r="V71" s="29">
        <f t="shared" si="11"/>
        <v>1.094</v>
      </c>
      <c r="W71" s="29">
        <f t="shared" si="12"/>
        <v>1.124</v>
      </c>
      <c r="X71" s="29">
        <f t="shared" si="13"/>
        <v>0.021765772213140452</v>
      </c>
      <c r="Y71" s="29">
        <f t="shared" si="14"/>
        <v>0.02116</v>
      </c>
      <c r="Z71" s="29">
        <f t="shared" si="15"/>
        <v>0.0224</v>
      </c>
      <c r="AA71" s="29">
        <f t="shared" si="16"/>
        <v>6.986500000000001</v>
      </c>
      <c r="AB71" s="73">
        <f t="shared" si="20"/>
        <v>21210</v>
      </c>
      <c r="AC71" s="73">
        <f t="shared" si="21"/>
        <v>4630</v>
      </c>
      <c r="AD71" s="73">
        <f t="shared" si="22"/>
        <v>7800</v>
      </c>
    </row>
    <row r="72" spans="2:30" ht="15">
      <c r="B72" s="5">
        <v>0.028</v>
      </c>
      <c r="C72" s="10">
        <f t="shared" si="17"/>
        <v>0.0006157521496</v>
      </c>
      <c r="D72" s="15" t="s">
        <v>20</v>
      </c>
      <c r="E72" s="15" t="s">
        <v>20</v>
      </c>
      <c r="F72" s="14">
        <v>0.034</v>
      </c>
      <c r="G72" s="5">
        <v>0.038</v>
      </c>
      <c r="H72" s="5" t="s">
        <v>14</v>
      </c>
      <c r="I72" s="4">
        <f t="shared" si="18"/>
        <v>27.74839064453873</v>
      </c>
      <c r="J72" s="4">
        <v>24.99</v>
      </c>
      <c r="K72" s="4">
        <v>30.54</v>
      </c>
      <c r="L72" s="9">
        <f t="shared" si="19"/>
        <v>0.005480194131440001</v>
      </c>
      <c r="M72" s="71" t="s">
        <v>56</v>
      </c>
      <c r="N72" s="71" t="s">
        <v>56</v>
      </c>
      <c r="O72" s="71" t="s">
        <v>56</v>
      </c>
      <c r="Q72" s="29">
        <f t="shared" si="6"/>
        <v>1</v>
      </c>
      <c r="R72" s="30">
        <f t="shared" si="7"/>
        <v>0.785</v>
      </c>
      <c r="S72" s="31">
        <f t="shared" si="8"/>
        <v>18</v>
      </c>
      <c r="T72" s="31">
        <f t="shared" si="9"/>
        <v>19</v>
      </c>
      <c r="U72" s="29">
        <f t="shared" si="10"/>
        <v>1.062</v>
      </c>
      <c r="V72" s="29">
        <f t="shared" si="11"/>
        <v>1.094</v>
      </c>
      <c r="W72" s="29">
        <f t="shared" si="12"/>
        <v>1.124</v>
      </c>
      <c r="X72" s="29">
        <f t="shared" si="13"/>
        <v>0.021765772213140452</v>
      </c>
      <c r="Y72" s="29">
        <f t="shared" si="14"/>
        <v>0.02116</v>
      </c>
      <c r="Z72" s="29">
        <f t="shared" si="15"/>
        <v>0.0224</v>
      </c>
      <c r="AA72" s="29">
        <f t="shared" si="16"/>
        <v>6.986500000000001</v>
      </c>
      <c r="AB72" s="73">
        <f t="shared" si="20"/>
        <v>21210</v>
      </c>
      <c r="AC72" s="73">
        <f t="shared" si="21"/>
        <v>4630</v>
      </c>
      <c r="AD72" s="73">
        <f t="shared" si="22"/>
        <v>7800</v>
      </c>
    </row>
    <row r="73" spans="2:30" ht="15">
      <c r="B73" s="5">
        <v>0.032</v>
      </c>
      <c r="C73" s="10">
        <f t="shared" si="17"/>
        <v>0.0008042477056000001</v>
      </c>
      <c r="D73" s="15" t="s">
        <v>20</v>
      </c>
      <c r="E73" s="15" t="s">
        <v>20</v>
      </c>
      <c r="F73" s="14">
        <v>0.039</v>
      </c>
      <c r="G73" s="5">
        <v>0.043</v>
      </c>
      <c r="H73" s="5" t="s">
        <v>14</v>
      </c>
      <c r="I73" s="4">
        <f t="shared" si="18"/>
        <v>21.244861587224964</v>
      </c>
      <c r="J73" s="4">
        <v>19.13</v>
      </c>
      <c r="K73" s="4">
        <v>23.38</v>
      </c>
      <c r="L73" s="9">
        <f t="shared" si="19"/>
        <v>0.007157804579840002</v>
      </c>
      <c r="M73" s="71" t="s">
        <v>56</v>
      </c>
      <c r="N73" s="71" t="s">
        <v>56</v>
      </c>
      <c r="O73" s="71" t="s">
        <v>56</v>
      </c>
      <c r="Q73" s="29">
        <f t="shared" si="6"/>
        <v>1</v>
      </c>
      <c r="R73" s="30">
        <f t="shared" si="7"/>
        <v>0.785</v>
      </c>
      <c r="S73" s="31">
        <f t="shared" si="8"/>
        <v>18</v>
      </c>
      <c r="T73" s="31">
        <f t="shared" si="9"/>
        <v>19</v>
      </c>
      <c r="U73" s="29">
        <f t="shared" si="10"/>
        <v>1.062</v>
      </c>
      <c r="V73" s="29">
        <f t="shared" si="11"/>
        <v>1.094</v>
      </c>
      <c r="W73" s="29">
        <f t="shared" si="12"/>
        <v>1.124</v>
      </c>
      <c r="X73" s="29">
        <f t="shared" si="13"/>
        <v>0.021765772213140452</v>
      </c>
      <c r="Y73" s="29">
        <f t="shared" si="14"/>
        <v>0.02116</v>
      </c>
      <c r="Z73" s="29">
        <f t="shared" si="15"/>
        <v>0.0224</v>
      </c>
      <c r="AA73" s="29">
        <f t="shared" si="16"/>
        <v>6.986500000000001</v>
      </c>
      <c r="AB73" s="73">
        <f t="shared" si="20"/>
        <v>21210</v>
      </c>
      <c r="AC73" s="73">
        <f t="shared" si="21"/>
        <v>4630</v>
      </c>
      <c r="AD73" s="73">
        <f t="shared" si="22"/>
        <v>7800</v>
      </c>
    </row>
    <row r="74" spans="2:30" ht="15">
      <c r="B74" s="5">
        <v>0.036</v>
      </c>
      <c r="C74" s="9">
        <f t="shared" si="17"/>
        <v>0.0010178760024</v>
      </c>
      <c r="D74" s="15" t="s">
        <v>20</v>
      </c>
      <c r="E74" s="15" t="s">
        <v>20</v>
      </c>
      <c r="F74" s="14">
        <v>0.044</v>
      </c>
      <c r="G74" s="5">
        <v>0.049</v>
      </c>
      <c r="H74" s="5" t="s">
        <v>14</v>
      </c>
      <c r="I74" s="4">
        <f t="shared" si="18"/>
        <v>16.7860634763259</v>
      </c>
      <c r="J74" s="4">
        <v>15.16</v>
      </c>
      <c r="K74" s="4">
        <v>18.42</v>
      </c>
      <c r="L74" s="9">
        <f t="shared" si="19"/>
        <v>0.00905909642136</v>
      </c>
      <c r="M74" s="71" t="s">
        <v>56</v>
      </c>
      <c r="N74" s="71" t="s">
        <v>56</v>
      </c>
      <c r="O74" s="71" t="s">
        <v>56</v>
      </c>
      <c r="Q74" s="29">
        <f t="shared" si="6"/>
        <v>1</v>
      </c>
      <c r="R74" s="30">
        <f t="shared" si="7"/>
        <v>0.785</v>
      </c>
      <c r="S74" s="31">
        <f t="shared" si="8"/>
        <v>18</v>
      </c>
      <c r="T74" s="31">
        <f t="shared" si="9"/>
        <v>19</v>
      </c>
      <c r="U74" s="29">
        <f t="shared" si="10"/>
        <v>1.062</v>
      </c>
      <c r="V74" s="29">
        <f t="shared" si="11"/>
        <v>1.094</v>
      </c>
      <c r="W74" s="29">
        <f t="shared" si="12"/>
        <v>1.124</v>
      </c>
      <c r="X74" s="29">
        <f t="shared" si="13"/>
        <v>0.021765772213140452</v>
      </c>
      <c r="Y74" s="29">
        <f t="shared" si="14"/>
        <v>0.02116</v>
      </c>
      <c r="Z74" s="29">
        <f t="shared" si="15"/>
        <v>0.0224</v>
      </c>
      <c r="AA74" s="29">
        <f t="shared" si="16"/>
        <v>6.986500000000001</v>
      </c>
      <c r="AB74" s="73">
        <f t="shared" si="20"/>
        <v>21210</v>
      </c>
      <c r="AC74" s="73">
        <f t="shared" si="21"/>
        <v>4630</v>
      </c>
      <c r="AD74" s="73">
        <f t="shared" si="22"/>
        <v>7800</v>
      </c>
    </row>
    <row r="75" spans="2:30" ht="15">
      <c r="B75" s="5">
        <v>0.04</v>
      </c>
      <c r="C75" s="9">
        <f t="shared" si="17"/>
        <v>0.0012566370400000002</v>
      </c>
      <c r="D75" s="15" t="s">
        <v>20</v>
      </c>
      <c r="E75" s="15">
        <v>48</v>
      </c>
      <c r="F75" s="14">
        <v>0.049</v>
      </c>
      <c r="G75" s="5">
        <v>0.054</v>
      </c>
      <c r="H75" s="5" t="s">
        <v>14</v>
      </c>
      <c r="I75" s="4">
        <f t="shared" si="18"/>
        <v>13.596711415823977</v>
      </c>
      <c r="J75" s="4">
        <v>12.28</v>
      </c>
      <c r="K75" s="4">
        <v>14.92</v>
      </c>
      <c r="L75" s="9">
        <f t="shared" si="19"/>
        <v>0.011184069656000002</v>
      </c>
      <c r="M75" s="71" t="s">
        <v>56</v>
      </c>
      <c r="N75" s="71" t="s">
        <v>56</v>
      </c>
      <c r="O75" s="71" t="s">
        <v>56</v>
      </c>
      <c r="Q75" s="29">
        <f t="shared" si="6"/>
        <v>1</v>
      </c>
      <c r="R75" s="30">
        <f t="shared" si="7"/>
        <v>0.785</v>
      </c>
      <c r="S75" s="31">
        <f t="shared" si="8"/>
        <v>18</v>
      </c>
      <c r="T75" s="31">
        <f t="shared" si="9"/>
        <v>19</v>
      </c>
      <c r="U75" s="29">
        <f t="shared" si="10"/>
        <v>1.062</v>
      </c>
      <c r="V75" s="29">
        <f t="shared" si="11"/>
        <v>1.094</v>
      </c>
      <c r="W75" s="29">
        <f t="shared" si="12"/>
        <v>1.124</v>
      </c>
      <c r="X75" s="29">
        <f t="shared" si="13"/>
        <v>0.021765772213140452</v>
      </c>
      <c r="Y75" s="29">
        <f t="shared" si="14"/>
        <v>0.02116</v>
      </c>
      <c r="Z75" s="29">
        <f t="shared" si="15"/>
        <v>0.0224</v>
      </c>
      <c r="AA75" s="29">
        <f t="shared" si="16"/>
        <v>6.986500000000001</v>
      </c>
      <c r="AB75" s="73">
        <f t="shared" si="20"/>
        <v>21210</v>
      </c>
      <c r="AC75" s="73">
        <f t="shared" si="21"/>
        <v>4630</v>
      </c>
      <c r="AD75" s="73">
        <f t="shared" si="22"/>
        <v>7800</v>
      </c>
    </row>
    <row r="76" spans="2:30" ht="15">
      <c r="B76" s="5">
        <v>0.045</v>
      </c>
      <c r="C76" s="9">
        <f t="shared" si="17"/>
        <v>0.00159043125375</v>
      </c>
      <c r="D76" s="15" t="s">
        <v>20</v>
      </c>
      <c r="E76" s="15" t="s">
        <v>20</v>
      </c>
      <c r="F76" s="14">
        <v>0.055</v>
      </c>
      <c r="G76" s="5">
        <v>0.061</v>
      </c>
      <c r="H76" s="5" t="s">
        <v>14</v>
      </c>
      <c r="I76" s="4">
        <f t="shared" si="18"/>
        <v>10.743080624848577</v>
      </c>
      <c r="J76" s="5">
        <v>9.705</v>
      </c>
      <c r="K76" s="4">
        <v>11.79</v>
      </c>
      <c r="L76" s="9">
        <f t="shared" si="19"/>
        <v>0.014154838158374998</v>
      </c>
      <c r="M76" s="71" t="s">
        <v>56</v>
      </c>
      <c r="N76" s="71" t="s">
        <v>56</v>
      </c>
      <c r="O76" s="71" t="s">
        <v>56</v>
      </c>
      <c r="Q76" s="29">
        <f t="shared" si="6"/>
        <v>1</v>
      </c>
      <c r="R76" s="30">
        <f t="shared" si="7"/>
        <v>0.785</v>
      </c>
      <c r="S76" s="31">
        <f t="shared" si="8"/>
        <v>18</v>
      </c>
      <c r="T76" s="31">
        <f t="shared" si="9"/>
        <v>19</v>
      </c>
      <c r="U76" s="29">
        <f t="shared" si="10"/>
        <v>1.062</v>
      </c>
      <c r="V76" s="29">
        <f t="shared" si="11"/>
        <v>1.094</v>
      </c>
      <c r="W76" s="29">
        <f t="shared" si="12"/>
        <v>1.124</v>
      </c>
      <c r="X76" s="29">
        <f t="shared" si="13"/>
        <v>0.021765772213140452</v>
      </c>
      <c r="Y76" s="29">
        <f t="shared" si="14"/>
        <v>0.02116</v>
      </c>
      <c r="Z76" s="29">
        <f t="shared" si="15"/>
        <v>0.0224</v>
      </c>
      <c r="AA76" s="29">
        <f t="shared" si="16"/>
        <v>6.986500000000001</v>
      </c>
      <c r="AB76" s="73">
        <f t="shared" si="20"/>
        <v>21210</v>
      </c>
      <c r="AC76" s="73">
        <f t="shared" si="21"/>
        <v>4630</v>
      </c>
      <c r="AD76" s="73">
        <f t="shared" si="22"/>
        <v>7800</v>
      </c>
    </row>
    <row r="77" spans="2:30" ht="15">
      <c r="B77" s="5">
        <v>0.05</v>
      </c>
      <c r="C77" s="9">
        <f t="shared" si="17"/>
        <v>0.0019634953750000002</v>
      </c>
      <c r="D77" s="15">
        <v>44</v>
      </c>
      <c r="E77" s="15">
        <v>47</v>
      </c>
      <c r="F77" s="14">
        <v>0.06</v>
      </c>
      <c r="G77" s="5">
        <v>0.066</v>
      </c>
      <c r="H77" s="5" t="s">
        <v>14</v>
      </c>
      <c r="I77" s="5">
        <f t="shared" si="18"/>
        <v>8.701895306127346</v>
      </c>
      <c r="J77" s="5">
        <v>7.922</v>
      </c>
      <c r="K77" s="5">
        <v>9.489</v>
      </c>
      <c r="L77" s="9">
        <f t="shared" si="19"/>
        <v>0.017475108837500003</v>
      </c>
      <c r="M77" s="68">
        <v>62.85</v>
      </c>
      <c r="N77" s="69">
        <v>20.3</v>
      </c>
      <c r="O77" s="69">
        <v>23.2</v>
      </c>
      <c r="Q77" s="29">
        <f t="shared" si="6"/>
        <v>1</v>
      </c>
      <c r="R77" s="30">
        <f t="shared" si="7"/>
        <v>0.785</v>
      </c>
      <c r="S77" s="31">
        <f t="shared" si="8"/>
        <v>18</v>
      </c>
      <c r="T77" s="31">
        <f t="shared" si="9"/>
        <v>19</v>
      </c>
      <c r="U77" s="29">
        <f t="shared" si="10"/>
        <v>1.062</v>
      </c>
      <c r="V77" s="29">
        <f t="shared" si="11"/>
        <v>1.094</v>
      </c>
      <c r="W77" s="29">
        <f t="shared" si="12"/>
        <v>1.124</v>
      </c>
      <c r="X77" s="29">
        <f t="shared" si="13"/>
        <v>0.021765772213140452</v>
      </c>
      <c r="Y77" s="29">
        <f t="shared" si="14"/>
        <v>0.02116</v>
      </c>
      <c r="Z77" s="29">
        <f t="shared" si="15"/>
        <v>0.0224</v>
      </c>
      <c r="AA77" s="29">
        <f t="shared" si="16"/>
        <v>6.986500000000001</v>
      </c>
      <c r="AB77" s="73">
        <f t="shared" si="20"/>
        <v>21210</v>
      </c>
      <c r="AC77" s="73">
        <f t="shared" si="21"/>
        <v>4630</v>
      </c>
      <c r="AD77" s="73">
        <f t="shared" si="22"/>
        <v>7800</v>
      </c>
    </row>
    <row r="78" spans="2:30" ht="15">
      <c r="B78" s="5">
        <v>0.056</v>
      </c>
      <c r="C78" s="9">
        <f t="shared" si="17"/>
        <v>0.0024630085984</v>
      </c>
      <c r="D78" s="15">
        <v>43</v>
      </c>
      <c r="E78" s="15" t="s">
        <v>14</v>
      </c>
      <c r="F78" s="14">
        <v>0.067</v>
      </c>
      <c r="G78" s="5">
        <v>0.074</v>
      </c>
      <c r="H78" s="5" t="s">
        <v>14</v>
      </c>
      <c r="I78" s="5">
        <f t="shared" si="18"/>
        <v>6.937097661134683</v>
      </c>
      <c r="J78" s="5">
        <v>6.316</v>
      </c>
      <c r="K78" s="5">
        <v>7.565</v>
      </c>
      <c r="L78" s="9">
        <f t="shared" si="19"/>
        <v>0.021920776525760004</v>
      </c>
      <c r="M78" s="70">
        <v>90.46</v>
      </c>
      <c r="N78" s="71">
        <v>29</v>
      </c>
      <c r="O78" s="71">
        <v>32</v>
      </c>
      <c r="Q78" s="29">
        <f t="shared" si="6"/>
        <v>1</v>
      </c>
      <c r="R78" s="30">
        <f t="shared" si="7"/>
        <v>0.785</v>
      </c>
      <c r="S78" s="31">
        <f t="shared" si="8"/>
        <v>18</v>
      </c>
      <c r="T78" s="31">
        <f t="shared" si="9"/>
        <v>19</v>
      </c>
      <c r="U78" s="29">
        <f t="shared" si="10"/>
        <v>1.062</v>
      </c>
      <c r="V78" s="29">
        <f t="shared" si="11"/>
        <v>1.094</v>
      </c>
      <c r="W78" s="29">
        <f t="shared" si="12"/>
        <v>1.124</v>
      </c>
      <c r="X78" s="29">
        <f t="shared" si="13"/>
        <v>0.021765772213140452</v>
      </c>
      <c r="Y78" s="29">
        <f t="shared" si="14"/>
        <v>0.02116</v>
      </c>
      <c r="Z78" s="29">
        <f t="shared" si="15"/>
        <v>0.0224</v>
      </c>
      <c r="AA78" s="29">
        <f t="shared" si="16"/>
        <v>6.986500000000001</v>
      </c>
      <c r="AB78" s="73">
        <f t="shared" si="20"/>
        <v>21210</v>
      </c>
      <c r="AC78" s="73">
        <f t="shared" si="21"/>
        <v>4630</v>
      </c>
      <c r="AD78" s="73">
        <f t="shared" si="22"/>
        <v>7800</v>
      </c>
    </row>
    <row r="79" spans="2:30" ht="15">
      <c r="B79" s="5">
        <v>0.063</v>
      </c>
      <c r="C79" s="9">
        <f t="shared" si="17"/>
        <v>0.00311724525735</v>
      </c>
      <c r="D79" s="15">
        <v>42</v>
      </c>
      <c r="E79" s="15">
        <v>46</v>
      </c>
      <c r="F79" s="14">
        <v>0.076</v>
      </c>
      <c r="G79" s="5">
        <v>0.083</v>
      </c>
      <c r="H79" s="5" t="s">
        <v>14</v>
      </c>
      <c r="I79" s="5">
        <f t="shared" si="18"/>
        <v>5.481163584106416</v>
      </c>
      <c r="J79" s="5">
        <v>5.045</v>
      </c>
      <c r="K79" s="5">
        <v>5.922</v>
      </c>
      <c r="L79" s="9">
        <f t="shared" si="19"/>
        <v>0.027743482790415004</v>
      </c>
      <c r="M79" s="70">
        <v>90.46</v>
      </c>
      <c r="N79" s="71">
        <v>29</v>
      </c>
      <c r="O79" s="71">
        <v>32</v>
      </c>
      <c r="Q79" s="29">
        <f t="shared" si="6"/>
        <v>1</v>
      </c>
      <c r="R79" s="30">
        <f t="shared" si="7"/>
        <v>0.785</v>
      </c>
      <c r="S79" s="31">
        <f t="shared" si="8"/>
        <v>18</v>
      </c>
      <c r="T79" s="31">
        <f t="shared" si="9"/>
        <v>19</v>
      </c>
      <c r="U79" s="29">
        <f t="shared" si="10"/>
        <v>1.062</v>
      </c>
      <c r="V79" s="29">
        <f t="shared" si="11"/>
        <v>1.094</v>
      </c>
      <c r="W79" s="29">
        <f t="shared" si="12"/>
        <v>1.124</v>
      </c>
      <c r="X79" s="29">
        <f t="shared" si="13"/>
        <v>0.021765772213140452</v>
      </c>
      <c r="Y79" s="29">
        <f t="shared" si="14"/>
        <v>0.02116</v>
      </c>
      <c r="Z79" s="29">
        <f t="shared" si="15"/>
        <v>0.0224</v>
      </c>
      <c r="AA79" s="29">
        <f t="shared" si="16"/>
        <v>6.986500000000001</v>
      </c>
      <c r="AB79" s="73">
        <f t="shared" si="20"/>
        <v>21210</v>
      </c>
      <c r="AC79" s="73">
        <f t="shared" si="21"/>
        <v>4630</v>
      </c>
      <c r="AD79" s="73">
        <f t="shared" si="22"/>
        <v>7800</v>
      </c>
    </row>
    <row r="80" spans="2:30" ht="15">
      <c r="B80" s="5">
        <v>0.071</v>
      </c>
      <c r="C80" s="9">
        <f t="shared" si="17"/>
        <v>0.00395919207415</v>
      </c>
      <c r="D80" s="15">
        <v>41</v>
      </c>
      <c r="E80" s="15">
        <v>45</v>
      </c>
      <c r="F80" s="14">
        <v>0.084</v>
      </c>
      <c r="G80" s="5">
        <v>0.091</v>
      </c>
      <c r="H80" s="5">
        <v>0.097</v>
      </c>
      <c r="I80" s="5">
        <f t="shared" si="18"/>
        <v>4.315560060567024</v>
      </c>
      <c r="J80" s="5">
        <v>3.941</v>
      </c>
      <c r="K80" s="5">
        <v>4.747</v>
      </c>
      <c r="L80" s="9">
        <f t="shared" si="19"/>
        <v>0.035236809459934994</v>
      </c>
      <c r="M80" s="70">
        <v>115.4</v>
      </c>
      <c r="N80" s="71">
        <v>40.6</v>
      </c>
      <c r="O80" s="71">
        <v>44.2</v>
      </c>
      <c r="Q80" s="29">
        <f t="shared" si="6"/>
        <v>1</v>
      </c>
      <c r="R80" s="30">
        <f t="shared" si="7"/>
        <v>0.785</v>
      </c>
      <c r="S80" s="31">
        <f t="shared" si="8"/>
        <v>18</v>
      </c>
      <c r="T80" s="31">
        <f t="shared" si="9"/>
        <v>19</v>
      </c>
      <c r="U80" s="29">
        <f t="shared" si="10"/>
        <v>1.062</v>
      </c>
      <c r="V80" s="29">
        <f t="shared" si="11"/>
        <v>1.094</v>
      </c>
      <c r="W80" s="29">
        <f t="shared" si="12"/>
        <v>1.124</v>
      </c>
      <c r="X80" s="29">
        <f t="shared" si="13"/>
        <v>0.021765772213140452</v>
      </c>
      <c r="Y80" s="29">
        <f t="shared" si="14"/>
        <v>0.02116</v>
      </c>
      <c r="Z80" s="29">
        <f t="shared" si="15"/>
        <v>0.0224</v>
      </c>
      <c r="AA80" s="29">
        <f t="shared" si="16"/>
        <v>6.986500000000001</v>
      </c>
      <c r="AB80" s="73">
        <f t="shared" si="20"/>
        <v>21210</v>
      </c>
      <c r="AC80" s="73">
        <f t="shared" si="21"/>
        <v>4630</v>
      </c>
      <c r="AD80" s="73">
        <f t="shared" si="22"/>
        <v>7800</v>
      </c>
    </row>
    <row r="81" spans="2:30" ht="15">
      <c r="B81" s="5">
        <v>0.08</v>
      </c>
      <c r="C81" s="9">
        <f t="shared" si="17"/>
        <v>0.005026548160000001</v>
      </c>
      <c r="D81" s="15">
        <v>40</v>
      </c>
      <c r="E81" s="15">
        <v>44</v>
      </c>
      <c r="F81" s="14">
        <v>0.094</v>
      </c>
      <c r="G81" s="5">
        <v>0.101</v>
      </c>
      <c r="H81" s="5">
        <v>0.108</v>
      </c>
      <c r="I81" s="5">
        <f t="shared" si="18"/>
        <v>3.3991778539559943</v>
      </c>
      <c r="J81" s="5">
        <v>3.133</v>
      </c>
      <c r="K81" s="5">
        <v>3.703</v>
      </c>
      <c r="L81" s="9">
        <f t="shared" si="19"/>
        <v>0.04473627862400001</v>
      </c>
      <c r="M81" s="70">
        <v>150.8</v>
      </c>
      <c r="N81" s="71">
        <v>50</v>
      </c>
      <c r="O81" s="71">
        <v>53.8</v>
      </c>
      <c r="Q81" s="29">
        <f t="shared" si="6"/>
        <v>1</v>
      </c>
      <c r="R81" s="30">
        <f t="shared" si="7"/>
        <v>0.785</v>
      </c>
      <c r="S81" s="31">
        <f t="shared" si="8"/>
        <v>18</v>
      </c>
      <c r="T81" s="31">
        <f t="shared" si="9"/>
        <v>19</v>
      </c>
      <c r="U81" s="29">
        <f t="shared" si="10"/>
        <v>1.062</v>
      </c>
      <c r="V81" s="29">
        <f t="shared" si="11"/>
        <v>1.094</v>
      </c>
      <c r="W81" s="29">
        <f t="shared" si="12"/>
        <v>1.124</v>
      </c>
      <c r="X81" s="29">
        <f t="shared" si="13"/>
        <v>0.021765772213140452</v>
      </c>
      <c r="Y81" s="29">
        <f t="shared" si="14"/>
        <v>0.02116</v>
      </c>
      <c r="Z81" s="29">
        <f t="shared" si="15"/>
        <v>0.0224</v>
      </c>
      <c r="AA81" s="29">
        <f t="shared" si="16"/>
        <v>6.986500000000001</v>
      </c>
      <c r="AB81" s="73">
        <f t="shared" si="20"/>
        <v>21210</v>
      </c>
      <c r="AC81" s="73">
        <f t="shared" si="21"/>
        <v>4630</v>
      </c>
      <c r="AD81" s="73">
        <f t="shared" si="22"/>
        <v>7800</v>
      </c>
    </row>
    <row r="82" spans="2:30" ht="15">
      <c r="B82" s="5">
        <v>0.09</v>
      </c>
      <c r="C82" s="9">
        <f t="shared" si="17"/>
        <v>0.006361725015</v>
      </c>
      <c r="D82" s="15">
        <v>39</v>
      </c>
      <c r="E82" s="15">
        <v>43</v>
      </c>
      <c r="F82" s="14">
        <v>0.105</v>
      </c>
      <c r="G82" s="5">
        <v>0.113</v>
      </c>
      <c r="H82" s="5">
        <v>0.12</v>
      </c>
      <c r="I82" s="5">
        <f t="shared" si="18"/>
        <v>2.6857701562121443</v>
      </c>
      <c r="J82" s="5">
        <v>2.495</v>
      </c>
      <c r="K82" s="5">
        <v>2.9</v>
      </c>
      <c r="L82" s="9">
        <f t="shared" si="19"/>
        <v>0.05661935263349999</v>
      </c>
      <c r="M82" s="70">
        <v>190.9</v>
      </c>
      <c r="N82" s="71">
        <v>62.6</v>
      </c>
      <c r="O82" s="71">
        <v>67</v>
      </c>
      <c r="Q82" s="29">
        <f t="shared" si="6"/>
        <v>1</v>
      </c>
      <c r="R82" s="30">
        <f t="shared" si="7"/>
        <v>0.785</v>
      </c>
      <c r="S82" s="31">
        <f t="shared" si="8"/>
        <v>18</v>
      </c>
      <c r="T82" s="31">
        <f t="shared" si="9"/>
        <v>19</v>
      </c>
      <c r="U82" s="29">
        <f t="shared" si="10"/>
        <v>1.062</v>
      </c>
      <c r="V82" s="29">
        <f t="shared" si="11"/>
        <v>1.094</v>
      </c>
      <c r="W82" s="29">
        <f t="shared" si="12"/>
        <v>1.124</v>
      </c>
      <c r="X82" s="29">
        <f t="shared" si="13"/>
        <v>0.021765772213140452</v>
      </c>
      <c r="Y82" s="29">
        <f t="shared" si="14"/>
        <v>0.02116</v>
      </c>
      <c r="Z82" s="29">
        <f t="shared" si="15"/>
        <v>0.0224</v>
      </c>
      <c r="AA82" s="29">
        <f t="shared" si="16"/>
        <v>6.986500000000001</v>
      </c>
      <c r="AB82" s="73">
        <f t="shared" si="20"/>
        <v>21210</v>
      </c>
      <c r="AC82" s="73">
        <f t="shared" si="21"/>
        <v>4630</v>
      </c>
      <c r="AD82" s="73">
        <f t="shared" si="22"/>
        <v>7800</v>
      </c>
    </row>
    <row r="83" spans="2:30" ht="15">
      <c r="B83" s="5">
        <v>0.1</v>
      </c>
      <c r="C83" s="9">
        <f t="shared" si="17"/>
        <v>0.007853981500000001</v>
      </c>
      <c r="D83" s="15">
        <v>38</v>
      </c>
      <c r="E83" s="15">
        <v>42</v>
      </c>
      <c r="F83" s="14">
        <v>0.117</v>
      </c>
      <c r="G83" s="5">
        <v>0.125</v>
      </c>
      <c r="H83" s="5">
        <v>0.132</v>
      </c>
      <c r="I83" s="5">
        <f t="shared" si="18"/>
        <v>2.1754738265318365</v>
      </c>
      <c r="J83" s="5">
        <v>2.034</v>
      </c>
      <c r="K83" s="5">
        <v>2.333</v>
      </c>
      <c r="L83" s="9">
        <f t="shared" si="19"/>
        <v>0.06990043535000001</v>
      </c>
      <c r="M83" s="70">
        <v>227.8</v>
      </c>
      <c r="N83" s="71">
        <v>78</v>
      </c>
      <c r="O83" s="71">
        <v>83</v>
      </c>
      <c r="Q83" s="29">
        <f t="shared" si="6"/>
        <v>1</v>
      </c>
      <c r="R83" s="30">
        <f t="shared" si="7"/>
        <v>0.785</v>
      </c>
      <c r="S83" s="31">
        <f t="shared" si="8"/>
        <v>18</v>
      </c>
      <c r="T83" s="31">
        <f t="shared" si="9"/>
        <v>19</v>
      </c>
      <c r="U83" s="29">
        <f t="shared" si="10"/>
        <v>1.062</v>
      </c>
      <c r="V83" s="29">
        <f t="shared" si="11"/>
        <v>1.094</v>
      </c>
      <c r="W83" s="29">
        <f t="shared" si="12"/>
        <v>1.124</v>
      </c>
      <c r="X83" s="29">
        <f t="shared" si="13"/>
        <v>0.021765772213140452</v>
      </c>
      <c r="Y83" s="29">
        <f t="shared" si="14"/>
        <v>0.02116</v>
      </c>
      <c r="Z83" s="29">
        <f t="shared" si="15"/>
        <v>0.0224</v>
      </c>
      <c r="AA83" s="29">
        <f t="shared" si="16"/>
        <v>6.986500000000001</v>
      </c>
      <c r="AB83" s="73">
        <f t="shared" si="20"/>
        <v>21210</v>
      </c>
      <c r="AC83" s="73">
        <f t="shared" si="21"/>
        <v>4630</v>
      </c>
      <c r="AD83" s="73">
        <f t="shared" si="22"/>
        <v>7800</v>
      </c>
    </row>
    <row r="84" spans="2:30" ht="15">
      <c r="B84" s="5">
        <v>0.112</v>
      </c>
      <c r="C84" s="9">
        <f t="shared" si="17"/>
        <v>0.0098520343936</v>
      </c>
      <c r="D84" s="15">
        <v>37</v>
      </c>
      <c r="E84" s="15">
        <v>41</v>
      </c>
      <c r="F84" s="14">
        <v>0.13</v>
      </c>
      <c r="G84" s="5">
        <v>0.139</v>
      </c>
      <c r="H84" s="5">
        <v>0.147</v>
      </c>
      <c r="I84" s="5">
        <f t="shared" si="18"/>
        <v>1.7342744152836707</v>
      </c>
      <c r="J84" s="5">
        <v>1.632</v>
      </c>
      <c r="K84" s="5">
        <v>1.848</v>
      </c>
      <c r="L84" s="9">
        <f t="shared" si="19"/>
        <v>0.08768310610304002</v>
      </c>
      <c r="M84" s="70">
        <v>275.6</v>
      </c>
      <c r="N84" s="71">
        <v>93</v>
      </c>
      <c r="O84" s="71">
        <v>98.4</v>
      </c>
      <c r="Q84" s="29">
        <f t="shared" si="6"/>
        <v>1</v>
      </c>
      <c r="R84" s="30">
        <f t="shared" si="7"/>
        <v>0.785</v>
      </c>
      <c r="S84" s="31">
        <f t="shared" si="8"/>
        <v>18</v>
      </c>
      <c r="T84" s="31">
        <f t="shared" si="9"/>
        <v>19</v>
      </c>
      <c r="U84" s="29">
        <f t="shared" si="10"/>
        <v>1.062</v>
      </c>
      <c r="V84" s="29">
        <f t="shared" si="11"/>
        <v>1.094</v>
      </c>
      <c r="W84" s="29">
        <f t="shared" si="12"/>
        <v>1.124</v>
      </c>
      <c r="X84" s="29">
        <f t="shared" si="13"/>
        <v>0.021765772213140452</v>
      </c>
      <c r="Y84" s="29">
        <f t="shared" si="14"/>
        <v>0.02116</v>
      </c>
      <c r="Z84" s="29">
        <f t="shared" si="15"/>
        <v>0.0224</v>
      </c>
      <c r="AA84" s="29">
        <f t="shared" si="16"/>
        <v>6.986500000000001</v>
      </c>
      <c r="AB84" s="73">
        <f t="shared" si="20"/>
        <v>21210</v>
      </c>
      <c r="AC84" s="73">
        <f t="shared" si="21"/>
        <v>4630</v>
      </c>
      <c r="AD84" s="73">
        <f t="shared" si="22"/>
        <v>7800</v>
      </c>
    </row>
    <row r="85" spans="2:30" ht="15">
      <c r="B85" s="2">
        <v>0.118</v>
      </c>
      <c r="C85" s="7">
        <f t="shared" si="17"/>
        <v>0.010935883840599998</v>
      </c>
      <c r="D85" s="15" t="s">
        <v>14</v>
      </c>
      <c r="E85" s="15" t="s">
        <v>20</v>
      </c>
      <c r="F85" s="14">
        <v>0.136</v>
      </c>
      <c r="G85" s="5">
        <v>0.145</v>
      </c>
      <c r="H85" s="5">
        <v>0.154</v>
      </c>
      <c r="I85" s="5">
        <f t="shared" si="18"/>
        <v>1.5623914295689723</v>
      </c>
      <c r="J85" s="5">
        <v>1.474</v>
      </c>
      <c r="K85" s="5">
        <v>1.6599</v>
      </c>
      <c r="L85" s="9">
        <f t="shared" si="19"/>
        <v>0.09732936618134</v>
      </c>
      <c r="M85" s="70">
        <v>328</v>
      </c>
      <c r="N85" s="71">
        <v>108</v>
      </c>
      <c r="O85" s="71">
        <v>112.3</v>
      </c>
      <c r="Q85" s="29">
        <f t="shared" si="6"/>
        <v>1</v>
      </c>
      <c r="R85" s="30">
        <f t="shared" si="7"/>
        <v>0.785</v>
      </c>
      <c r="S85" s="31">
        <f t="shared" si="8"/>
        <v>18</v>
      </c>
      <c r="T85" s="31">
        <f t="shared" si="9"/>
        <v>19</v>
      </c>
      <c r="U85" s="29">
        <f t="shared" si="10"/>
        <v>1.062</v>
      </c>
      <c r="V85" s="29">
        <f t="shared" si="11"/>
        <v>1.094</v>
      </c>
      <c r="W85" s="29">
        <f t="shared" si="12"/>
        <v>1.124</v>
      </c>
      <c r="X85" s="29">
        <f t="shared" si="13"/>
        <v>0.021765772213140452</v>
      </c>
      <c r="Y85" s="29">
        <f t="shared" si="14"/>
        <v>0.02116</v>
      </c>
      <c r="Z85" s="29">
        <f t="shared" si="15"/>
        <v>0.0224</v>
      </c>
      <c r="AA85" s="29">
        <f t="shared" si="16"/>
        <v>6.986500000000001</v>
      </c>
      <c r="AB85" s="73">
        <f aca="true" t="shared" si="23" ref="AB85:AB148">IF(Q85=B85,M85,AB86)</f>
        <v>21210</v>
      </c>
      <c r="AC85" s="73">
        <f aca="true" t="shared" si="24" ref="AC85:AC148">IF(Q85=B85,N85,AC86)</f>
        <v>4630</v>
      </c>
      <c r="AD85" s="73">
        <f aca="true" t="shared" si="25" ref="AD85:AD148">IF(Q85=B85,O85,AD86)</f>
        <v>7800</v>
      </c>
    </row>
    <row r="86" spans="2:30" ht="15">
      <c r="B86" s="5">
        <v>0.125</v>
      </c>
      <c r="C86" s="7">
        <f aca="true" t="shared" si="26" ref="C86:C151">3.14*B86*B86/4</f>
        <v>0.012265625</v>
      </c>
      <c r="D86" s="15">
        <v>36</v>
      </c>
      <c r="E86" s="15">
        <v>40</v>
      </c>
      <c r="F86" s="14">
        <v>0.144</v>
      </c>
      <c r="G86" s="5">
        <v>0.154</v>
      </c>
      <c r="H86" s="5">
        <v>0.162</v>
      </c>
      <c r="I86" s="5">
        <f t="shared" si="18"/>
        <v>1.393009421640989</v>
      </c>
      <c r="J86" s="5">
        <v>1.317</v>
      </c>
      <c r="K86" s="5">
        <v>1.475</v>
      </c>
      <c r="L86" s="7">
        <f t="shared" si="19"/>
        <v>0.10916406250000002</v>
      </c>
      <c r="M86" s="70">
        <v>328</v>
      </c>
      <c r="N86" s="71">
        <v>108</v>
      </c>
      <c r="O86" s="71">
        <v>112.3</v>
      </c>
      <c r="Q86" s="29">
        <f t="shared" si="6"/>
        <v>1</v>
      </c>
      <c r="R86" s="30">
        <f t="shared" si="7"/>
        <v>0.785</v>
      </c>
      <c r="S86" s="31">
        <f t="shared" si="8"/>
        <v>18</v>
      </c>
      <c r="T86" s="31">
        <f t="shared" si="9"/>
        <v>19</v>
      </c>
      <c r="U86" s="29">
        <f t="shared" si="10"/>
        <v>1.062</v>
      </c>
      <c r="V86" s="29">
        <f t="shared" si="11"/>
        <v>1.094</v>
      </c>
      <c r="W86" s="29">
        <f t="shared" si="12"/>
        <v>1.124</v>
      </c>
      <c r="X86" s="29">
        <f t="shared" si="13"/>
        <v>0.021765772213140452</v>
      </c>
      <c r="Y86" s="29">
        <f t="shared" si="14"/>
        <v>0.02116</v>
      </c>
      <c r="Z86" s="29">
        <f t="shared" si="15"/>
        <v>0.0224</v>
      </c>
      <c r="AA86" s="29">
        <f t="shared" si="16"/>
        <v>6.986500000000001</v>
      </c>
      <c r="AB86" s="73">
        <f t="shared" si="23"/>
        <v>21210</v>
      </c>
      <c r="AC86" s="73">
        <f t="shared" si="24"/>
        <v>4630</v>
      </c>
      <c r="AD86" s="73">
        <f t="shared" si="25"/>
        <v>7800</v>
      </c>
    </row>
    <row r="87" spans="2:30" ht="15">
      <c r="B87" s="2">
        <v>0.132</v>
      </c>
      <c r="C87" s="7">
        <f t="shared" si="26"/>
        <v>0.013677840000000002</v>
      </c>
      <c r="D87" s="15" t="s">
        <v>14</v>
      </c>
      <c r="E87" s="5" t="s">
        <v>20</v>
      </c>
      <c r="F87" s="14">
        <v>0.152</v>
      </c>
      <c r="G87" s="5">
        <v>0.162</v>
      </c>
      <c r="H87" s="5">
        <v>0.171</v>
      </c>
      <c r="I87" s="5">
        <f t="shared" si="18"/>
        <v>1.2491834373932764</v>
      </c>
      <c r="J87" s="5">
        <v>1.184</v>
      </c>
      <c r="K87" s="5">
        <v>1.319</v>
      </c>
      <c r="L87" s="7">
        <f t="shared" si="19"/>
        <v>0.12173277600000003</v>
      </c>
      <c r="M87" s="70">
        <v>334.8</v>
      </c>
      <c r="N87" s="71">
        <v>125</v>
      </c>
      <c r="O87" s="71">
        <v>131.8</v>
      </c>
      <c r="Q87" s="29">
        <f t="shared" si="6"/>
        <v>1</v>
      </c>
      <c r="R87" s="30">
        <f t="shared" si="7"/>
        <v>0.785</v>
      </c>
      <c r="S87" s="31">
        <f t="shared" si="8"/>
        <v>18</v>
      </c>
      <c r="T87" s="31">
        <f t="shared" si="9"/>
        <v>19</v>
      </c>
      <c r="U87" s="29">
        <f t="shared" si="10"/>
        <v>1.062</v>
      </c>
      <c r="V87" s="29">
        <f t="shared" si="11"/>
        <v>1.094</v>
      </c>
      <c r="W87" s="29">
        <f t="shared" si="12"/>
        <v>1.124</v>
      </c>
      <c r="X87" s="29">
        <f t="shared" si="13"/>
        <v>0.021765772213140452</v>
      </c>
      <c r="Y87" s="29">
        <f t="shared" si="14"/>
        <v>0.02116</v>
      </c>
      <c r="Z87" s="29">
        <f t="shared" si="15"/>
        <v>0.0224</v>
      </c>
      <c r="AA87" s="29">
        <f t="shared" si="16"/>
        <v>6.986500000000001</v>
      </c>
      <c r="AB87" s="73">
        <f t="shared" si="23"/>
        <v>21210</v>
      </c>
      <c r="AC87" s="73">
        <f t="shared" si="24"/>
        <v>4630</v>
      </c>
      <c r="AD87" s="73">
        <f t="shared" si="25"/>
        <v>7800</v>
      </c>
    </row>
    <row r="88" spans="2:30" ht="15">
      <c r="B88" s="5">
        <v>0.14</v>
      </c>
      <c r="C88" s="7">
        <f t="shared" si="26"/>
        <v>0.015386000000000004</v>
      </c>
      <c r="D88" s="15">
        <v>35</v>
      </c>
      <c r="E88" s="15">
        <v>39</v>
      </c>
      <c r="F88" s="14">
        <v>0.16</v>
      </c>
      <c r="G88" s="5">
        <v>0.171</v>
      </c>
      <c r="H88" s="5">
        <v>0.181</v>
      </c>
      <c r="I88" s="5">
        <f t="shared" si="18"/>
        <v>1.110498582303084</v>
      </c>
      <c r="J88" s="5">
        <v>1.055</v>
      </c>
      <c r="K88" s="5">
        <v>1.17</v>
      </c>
      <c r="L88" s="7">
        <f t="shared" si="19"/>
        <v>0.13693540000000004</v>
      </c>
      <c r="M88" s="70">
        <v>446.3</v>
      </c>
      <c r="N88" s="71">
        <v>143</v>
      </c>
      <c r="O88" s="71">
        <v>153</v>
      </c>
      <c r="Q88" s="29">
        <f t="shared" si="6"/>
        <v>1</v>
      </c>
      <c r="R88" s="30">
        <f t="shared" si="7"/>
        <v>0.785</v>
      </c>
      <c r="S88" s="31">
        <f t="shared" si="8"/>
        <v>18</v>
      </c>
      <c r="T88" s="31">
        <f t="shared" si="9"/>
        <v>19</v>
      </c>
      <c r="U88" s="29">
        <f t="shared" si="10"/>
        <v>1.062</v>
      </c>
      <c r="V88" s="29">
        <f t="shared" si="11"/>
        <v>1.094</v>
      </c>
      <c r="W88" s="29">
        <f t="shared" si="12"/>
        <v>1.124</v>
      </c>
      <c r="X88" s="29">
        <f t="shared" si="13"/>
        <v>0.021765772213140452</v>
      </c>
      <c r="Y88" s="29">
        <f t="shared" si="14"/>
        <v>0.02116</v>
      </c>
      <c r="Z88" s="29">
        <f t="shared" si="15"/>
        <v>0.0224</v>
      </c>
      <c r="AA88" s="29">
        <f t="shared" si="16"/>
        <v>6.986500000000001</v>
      </c>
      <c r="AB88" s="73">
        <f t="shared" si="23"/>
        <v>21210</v>
      </c>
      <c r="AC88" s="73">
        <f t="shared" si="24"/>
        <v>4630</v>
      </c>
      <c r="AD88" s="73">
        <f t="shared" si="25"/>
        <v>7800</v>
      </c>
    </row>
    <row r="89" spans="2:30" ht="15">
      <c r="B89" s="2">
        <v>0.15</v>
      </c>
      <c r="C89" s="7">
        <f t="shared" si="26"/>
        <v>0.017662499999999998</v>
      </c>
      <c r="D89" s="15" t="s">
        <v>14</v>
      </c>
      <c r="E89" s="15" t="s">
        <v>20</v>
      </c>
      <c r="F89" s="14">
        <v>0.171</v>
      </c>
      <c r="G89" s="5">
        <v>0.182</v>
      </c>
      <c r="H89" s="5">
        <v>0.193</v>
      </c>
      <c r="I89" s="6">
        <f t="shared" si="18"/>
        <v>0.9673676539173536</v>
      </c>
      <c r="J89" s="6">
        <v>0.9219</v>
      </c>
      <c r="K89" s="6">
        <v>1.0159</v>
      </c>
      <c r="L89" s="7">
        <f t="shared" si="19"/>
        <v>0.15719624999999998</v>
      </c>
      <c r="M89" s="70">
        <v>446.3</v>
      </c>
      <c r="N89" s="71">
        <v>143</v>
      </c>
      <c r="O89" s="71">
        <v>153</v>
      </c>
      <c r="Q89" s="29">
        <f t="shared" si="6"/>
        <v>1</v>
      </c>
      <c r="R89" s="30">
        <f t="shared" si="7"/>
        <v>0.785</v>
      </c>
      <c r="S89" s="31">
        <f t="shared" si="8"/>
        <v>18</v>
      </c>
      <c r="T89" s="31">
        <f t="shared" si="9"/>
        <v>19</v>
      </c>
      <c r="U89" s="29">
        <f t="shared" si="10"/>
        <v>1.062</v>
      </c>
      <c r="V89" s="29">
        <f t="shared" si="11"/>
        <v>1.094</v>
      </c>
      <c r="W89" s="29">
        <f t="shared" si="12"/>
        <v>1.124</v>
      </c>
      <c r="X89" s="29">
        <f t="shared" si="13"/>
        <v>0.021765772213140452</v>
      </c>
      <c r="Y89" s="29">
        <f t="shared" si="14"/>
        <v>0.02116</v>
      </c>
      <c r="Z89" s="29">
        <f t="shared" si="15"/>
        <v>0.0224</v>
      </c>
      <c r="AA89" s="29">
        <f t="shared" si="16"/>
        <v>6.986500000000001</v>
      </c>
      <c r="AB89" s="73">
        <f t="shared" si="23"/>
        <v>21210</v>
      </c>
      <c r="AC89" s="73">
        <f t="shared" si="24"/>
        <v>4630</v>
      </c>
      <c r="AD89" s="73">
        <f t="shared" si="25"/>
        <v>7800</v>
      </c>
    </row>
    <row r="90" spans="2:30" ht="15">
      <c r="B90" s="5">
        <v>0.16</v>
      </c>
      <c r="C90" s="7">
        <f t="shared" si="26"/>
        <v>0.020096000000000003</v>
      </c>
      <c r="D90" s="15">
        <v>34</v>
      </c>
      <c r="E90" s="15">
        <v>38</v>
      </c>
      <c r="F90" s="14">
        <v>0.182</v>
      </c>
      <c r="G90" s="5">
        <v>0.194</v>
      </c>
      <c r="H90" s="5">
        <v>0.205</v>
      </c>
      <c r="I90" s="6">
        <f t="shared" si="18"/>
        <v>0.8502254770757988</v>
      </c>
      <c r="J90" s="6">
        <v>0.8122</v>
      </c>
      <c r="K90" s="6">
        <v>0.8906</v>
      </c>
      <c r="L90" s="7">
        <f t="shared" si="19"/>
        <v>0.17885440000000002</v>
      </c>
      <c r="M90" s="70">
        <v>583.2</v>
      </c>
      <c r="N90" s="71">
        <v>181</v>
      </c>
      <c r="O90" s="71">
        <v>200</v>
      </c>
      <c r="Q90" s="29">
        <f t="shared" si="6"/>
        <v>1</v>
      </c>
      <c r="R90" s="30">
        <f t="shared" si="7"/>
        <v>0.785</v>
      </c>
      <c r="S90" s="31">
        <f t="shared" si="8"/>
        <v>18</v>
      </c>
      <c r="T90" s="31">
        <f t="shared" si="9"/>
        <v>19</v>
      </c>
      <c r="U90" s="29">
        <f t="shared" si="10"/>
        <v>1.062</v>
      </c>
      <c r="V90" s="29">
        <f t="shared" si="11"/>
        <v>1.094</v>
      </c>
      <c r="W90" s="29">
        <f t="shared" si="12"/>
        <v>1.124</v>
      </c>
      <c r="X90" s="29">
        <f t="shared" si="13"/>
        <v>0.021765772213140452</v>
      </c>
      <c r="Y90" s="29">
        <f t="shared" si="14"/>
        <v>0.02116</v>
      </c>
      <c r="Z90" s="29">
        <f t="shared" si="15"/>
        <v>0.0224</v>
      </c>
      <c r="AA90" s="29">
        <f t="shared" si="16"/>
        <v>6.986500000000001</v>
      </c>
      <c r="AB90" s="73">
        <f t="shared" si="23"/>
        <v>21210</v>
      </c>
      <c r="AC90" s="73">
        <f t="shared" si="24"/>
        <v>4630</v>
      </c>
      <c r="AD90" s="73">
        <f t="shared" si="25"/>
        <v>7800</v>
      </c>
    </row>
    <row r="91" spans="2:30" ht="15">
      <c r="B91" s="2">
        <v>0.17</v>
      </c>
      <c r="C91" s="7">
        <f t="shared" si="26"/>
        <v>0.022686500000000005</v>
      </c>
      <c r="D91" s="15" t="s">
        <v>14</v>
      </c>
      <c r="E91" s="15" t="s">
        <v>20</v>
      </c>
      <c r="F91" s="14">
        <v>0.194</v>
      </c>
      <c r="G91" s="5">
        <v>0.205</v>
      </c>
      <c r="H91" s="5">
        <v>0.217</v>
      </c>
      <c r="I91" s="6">
        <f t="shared" si="18"/>
        <v>0.7531409070290812</v>
      </c>
      <c r="J91" s="6">
        <v>0.7211</v>
      </c>
      <c r="K91" s="6">
        <v>0.7871</v>
      </c>
      <c r="L91" s="7">
        <f t="shared" si="19"/>
        <v>0.20190985000000006</v>
      </c>
      <c r="M91" s="70">
        <v>583.2</v>
      </c>
      <c r="N91" s="71">
        <v>181</v>
      </c>
      <c r="O91" s="71">
        <v>200</v>
      </c>
      <c r="Q91" s="29">
        <f t="shared" si="6"/>
        <v>1</v>
      </c>
      <c r="R91" s="30">
        <f t="shared" si="7"/>
        <v>0.785</v>
      </c>
      <c r="S91" s="31">
        <f t="shared" si="8"/>
        <v>18</v>
      </c>
      <c r="T91" s="31">
        <f t="shared" si="9"/>
        <v>19</v>
      </c>
      <c r="U91" s="29">
        <f t="shared" si="10"/>
        <v>1.062</v>
      </c>
      <c r="V91" s="29">
        <f t="shared" si="11"/>
        <v>1.094</v>
      </c>
      <c r="W91" s="29">
        <f t="shared" si="12"/>
        <v>1.124</v>
      </c>
      <c r="X91" s="29">
        <f t="shared" si="13"/>
        <v>0.021765772213140452</v>
      </c>
      <c r="Y91" s="29">
        <f t="shared" si="14"/>
        <v>0.02116</v>
      </c>
      <c r="Z91" s="29">
        <f t="shared" si="15"/>
        <v>0.0224</v>
      </c>
      <c r="AA91" s="29">
        <f t="shared" si="16"/>
        <v>6.986500000000001</v>
      </c>
      <c r="AB91" s="73">
        <f t="shared" si="23"/>
        <v>21210</v>
      </c>
      <c r="AC91" s="73">
        <f t="shared" si="24"/>
        <v>4630</v>
      </c>
      <c r="AD91" s="73">
        <f t="shared" si="25"/>
        <v>7800</v>
      </c>
    </row>
    <row r="92" spans="2:30" ht="15">
      <c r="B92" s="5">
        <v>0.18</v>
      </c>
      <c r="C92" s="7">
        <f t="shared" si="26"/>
        <v>0.025434000000000002</v>
      </c>
      <c r="D92" s="15">
        <v>33</v>
      </c>
      <c r="E92" s="15">
        <v>36</v>
      </c>
      <c r="F92" s="14">
        <v>0.204</v>
      </c>
      <c r="G92" s="5">
        <v>0.217</v>
      </c>
      <c r="H92" s="5">
        <v>0.229</v>
      </c>
      <c r="I92" s="6">
        <f t="shared" si="18"/>
        <v>0.6717830929981621</v>
      </c>
      <c r="J92" s="6">
        <v>0.6444</v>
      </c>
      <c r="K92" s="6">
        <v>0.7007</v>
      </c>
      <c r="L92" s="7">
        <f t="shared" si="19"/>
        <v>0.22636260000000005</v>
      </c>
      <c r="M92" s="70">
        <v>738.1</v>
      </c>
      <c r="N92" s="71">
        <v>225</v>
      </c>
      <c r="O92" s="71">
        <v>252.7</v>
      </c>
      <c r="Q92" s="29">
        <f t="shared" si="6"/>
        <v>1</v>
      </c>
      <c r="R92" s="30">
        <f t="shared" si="7"/>
        <v>0.785</v>
      </c>
      <c r="S92" s="31">
        <f t="shared" si="8"/>
        <v>18</v>
      </c>
      <c r="T92" s="31">
        <f t="shared" si="9"/>
        <v>19</v>
      </c>
      <c r="U92" s="29">
        <f t="shared" si="10"/>
        <v>1.062</v>
      </c>
      <c r="V92" s="29">
        <f t="shared" si="11"/>
        <v>1.094</v>
      </c>
      <c r="W92" s="29">
        <f t="shared" si="12"/>
        <v>1.124</v>
      </c>
      <c r="X92" s="29">
        <f t="shared" si="13"/>
        <v>0.021765772213140452</v>
      </c>
      <c r="Y92" s="29">
        <f t="shared" si="14"/>
        <v>0.02116</v>
      </c>
      <c r="Z92" s="29">
        <f t="shared" si="15"/>
        <v>0.0224</v>
      </c>
      <c r="AA92" s="29">
        <f t="shared" si="16"/>
        <v>6.986500000000001</v>
      </c>
      <c r="AB92" s="73">
        <f t="shared" si="23"/>
        <v>21210</v>
      </c>
      <c r="AC92" s="73">
        <f t="shared" si="24"/>
        <v>4630</v>
      </c>
      <c r="AD92" s="73">
        <f t="shared" si="25"/>
        <v>7800</v>
      </c>
    </row>
    <row r="93" spans="2:30" ht="15">
      <c r="B93" s="2">
        <v>0.19</v>
      </c>
      <c r="C93" s="7">
        <f t="shared" si="26"/>
        <v>0.028338500000000003</v>
      </c>
      <c r="D93" s="15" t="s">
        <v>14</v>
      </c>
      <c r="E93" s="15" t="s">
        <v>20</v>
      </c>
      <c r="F93" s="14">
        <v>0.216</v>
      </c>
      <c r="G93" s="5">
        <v>0.228</v>
      </c>
      <c r="H93" s="5">
        <v>0.24</v>
      </c>
      <c r="I93" s="6">
        <f t="shared" si="18"/>
        <v>0.6029299782033366</v>
      </c>
      <c r="J93" s="6">
        <v>0.5794</v>
      </c>
      <c r="K93" s="6">
        <v>0.6278</v>
      </c>
      <c r="L93" s="7">
        <f t="shared" si="19"/>
        <v>0.25221265000000004</v>
      </c>
      <c r="M93" s="70">
        <v>738.1</v>
      </c>
      <c r="N93" s="71">
        <v>225</v>
      </c>
      <c r="O93" s="71">
        <v>252.7</v>
      </c>
      <c r="Q93" s="29">
        <f t="shared" si="6"/>
        <v>1</v>
      </c>
      <c r="R93" s="30">
        <f t="shared" si="7"/>
        <v>0.785</v>
      </c>
      <c r="S93" s="31">
        <f t="shared" si="8"/>
        <v>18</v>
      </c>
      <c r="T93" s="31">
        <f t="shared" si="9"/>
        <v>19</v>
      </c>
      <c r="U93" s="29">
        <f t="shared" si="10"/>
        <v>1.062</v>
      </c>
      <c r="V93" s="29">
        <f t="shared" si="11"/>
        <v>1.094</v>
      </c>
      <c r="W93" s="29">
        <f t="shared" si="12"/>
        <v>1.124</v>
      </c>
      <c r="X93" s="29">
        <f t="shared" si="13"/>
        <v>0.021765772213140452</v>
      </c>
      <c r="Y93" s="29">
        <f t="shared" si="14"/>
        <v>0.02116</v>
      </c>
      <c r="Z93" s="29">
        <f t="shared" si="15"/>
        <v>0.0224</v>
      </c>
      <c r="AA93" s="29">
        <f t="shared" si="16"/>
        <v>6.986500000000001</v>
      </c>
      <c r="AB93" s="73">
        <f t="shared" si="23"/>
        <v>21210</v>
      </c>
      <c r="AC93" s="73">
        <f t="shared" si="24"/>
        <v>4630</v>
      </c>
      <c r="AD93" s="73">
        <f t="shared" si="25"/>
        <v>7800</v>
      </c>
    </row>
    <row r="94" spans="2:30" ht="15">
      <c r="B94" s="5">
        <v>0.2</v>
      </c>
      <c r="C94" s="7">
        <f t="shared" si="26"/>
        <v>0.031400000000000004</v>
      </c>
      <c r="D94" s="15">
        <v>32</v>
      </c>
      <c r="E94" s="15">
        <v>35</v>
      </c>
      <c r="F94" s="14">
        <v>0.226</v>
      </c>
      <c r="G94" s="5">
        <v>0.239</v>
      </c>
      <c r="H94" s="5">
        <v>0.262</v>
      </c>
      <c r="I94" s="6">
        <f t="shared" si="18"/>
        <v>0.5441443053285112</v>
      </c>
      <c r="J94" s="6">
        <v>0.5237</v>
      </c>
      <c r="K94" s="6">
        <v>0.5657</v>
      </c>
      <c r="L94" s="7">
        <f t="shared" si="19"/>
        <v>0.27946000000000004</v>
      </c>
      <c r="M94" s="70">
        <v>879.8</v>
      </c>
      <c r="N94" s="71">
        <v>272</v>
      </c>
      <c r="O94" s="71">
        <v>312</v>
      </c>
      <c r="Q94" s="29">
        <f t="shared" si="6"/>
        <v>1</v>
      </c>
      <c r="R94" s="30">
        <f t="shared" si="7"/>
        <v>0.785</v>
      </c>
      <c r="S94" s="31">
        <f t="shared" si="8"/>
        <v>18</v>
      </c>
      <c r="T94" s="31">
        <f t="shared" si="9"/>
        <v>19</v>
      </c>
      <c r="U94" s="29">
        <f t="shared" si="10"/>
        <v>1.062</v>
      </c>
      <c r="V94" s="29">
        <f t="shared" si="11"/>
        <v>1.094</v>
      </c>
      <c r="W94" s="29">
        <f t="shared" si="12"/>
        <v>1.124</v>
      </c>
      <c r="X94" s="29">
        <f t="shared" si="13"/>
        <v>0.021765772213140452</v>
      </c>
      <c r="Y94" s="29">
        <f t="shared" si="14"/>
        <v>0.02116</v>
      </c>
      <c r="Z94" s="29">
        <f t="shared" si="15"/>
        <v>0.0224</v>
      </c>
      <c r="AA94" s="29">
        <f t="shared" si="16"/>
        <v>6.986500000000001</v>
      </c>
      <c r="AB94" s="73">
        <f t="shared" si="23"/>
        <v>21210</v>
      </c>
      <c r="AC94" s="73">
        <f t="shared" si="24"/>
        <v>4630</v>
      </c>
      <c r="AD94" s="73">
        <f t="shared" si="25"/>
        <v>7800</v>
      </c>
    </row>
    <row r="95" spans="2:30" ht="15">
      <c r="B95" s="2">
        <v>0.212</v>
      </c>
      <c r="C95" s="7">
        <f t="shared" si="26"/>
        <v>0.03528104</v>
      </c>
      <c r="D95" s="15" t="s">
        <v>14</v>
      </c>
      <c r="E95" s="15" t="s">
        <v>20</v>
      </c>
      <c r="F95" s="14">
        <v>0.24</v>
      </c>
      <c r="G95" s="5">
        <v>0.254</v>
      </c>
      <c r="H95" s="5">
        <v>0.268</v>
      </c>
      <c r="I95" s="6">
        <f t="shared" si="18"/>
        <v>0.48428649459639667</v>
      </c>
      <c r="J95" s="6">
        <v>0.4669</v>
      </c>
      <c r="K95" s="6">
        <v>0.5026</v>
      </c>
      <c r="L95" s="7">
        <f t="shared" si="19"/>
        <v>0.314001256</v>
      </c>
      <c r="M95" s="70">
        <v>879.8</v>
      </c>
      <c r="N95" s="71">
        <v>272</v>
      </c>
      <c r="O95" s="71">
        <v>312</v>
      </c>
      <c r="Q95" s="29">
        <f t="shared" si="6"/>
        <v>1</v>
      </c>
      <c r="R95" s="30">
        <f t="shared" si="7"/>
        <v>0.785</v>
      </c>
      <c r="S95" s="31">
        <f t="shared" si="8"/>
        <v>18</v>
      </c>
      <c r="T95" s="31">
        <f t="shared" si="9"/>
        <v>19</v>
      </c>
      <c r="U95" s="29">
        <f t="shared" si="10"/>
        <v>1.062</v>
      </c>
      <c r="V95" s="29">
        <f t="shared" si="11"/>
        <v>1.094</v>
      </c>
      <c r="W95" s="29">
        <f t="shared" si="12"/>
        <v>1.124</v>
      </c>
      <c r="X95" s="29">
        <f t="shared" si="13"/>
        <v>0.021765772213140452</v>
      </c>
      <c r="Y95" s="29">
        <f t="shared" si="14"/>
        <v>0.02116</v>
      </c>
      <c r="Z95" s="29">
        <f t="shared" si="15"/>
        <v>0.0224</v>
      </c>
      <c r="AA95" s="29">
        <f t="shared" si="16"/>
        <v>6.986500000000001</v>
      </c>
      <c r="AB95" s="73">
        <f t="shared" si="23"/>
        <v>21210</v>
      </c>
      <c r="AC95" s="73">
        <f t="shared" si="24"/>
        <v>4630</v>
      </c>
      <c r="AD95" s="73">
        <f t="shared" si="25"/>
        <v>7800</v>
      </c>
    </row>
    <row r="96" spans="2:30" ht="15">
      <c r="B96" s="5">
        <v>0.224</v>
      </c>
      <c r="C96" s="7">
        <f t="shared" si="26"/>
        <v>0.039388160000000005</v>
      </c>
      <c r="D96" s="15">
        <v>31</v>
      </c>
      <c r="E96" s="15">
        <v>34</v>
      </c>
      <c r="F96" s="14">
        <v>0.252</v>
      </c>
      <c r="G96" s="5">
        <v>0.266</v>
      </c>
      <c r="H96" s="5">
        <v>0.28</v>
      </c>
      <c r="I96" s="6">
        <f t="shared" si="18"/>
        <v>0.43378850871214225</v>
      </c>
      <c r="J96" s="6">
        <v>0.4188</v>
      </c>
      <c r="K96" s="6">
        <v>0.4495</v>
      </c>
      <c r="L96" s="7">
        <f t="shared" si="19"/>
        <v>0.35055462400000004</v>
      </c>
      <c r="M96" s="70">
        <v>879.8</v>
      </c>
      <c r="N96" s="71">
        <v>272</v>
      </c>
      <c r="O96" s="71">
        <v>312</v>
      </c>
      <c r="Q96" s="29">
        <f t="shared" si="6"/>
        <v>1</v>
      </c>
      <c r="R96" s="30">
        <f t="shared" si="7"/>
        <v>0.785</v>
      </c>
      <c r="S96" s="31">
        <f t="shared" si="8"/>
        <v>18</v>
      </c>
      <c r="T96" s="31">
        <f t="shared" si="9"/>
        <v>19</v>
      </c>
      <c r="U96" s="29">
        <f t="shared" si="10"/>
        <v>1.062</v>
      </c>
      <c r="V96" s="29">
        <f t="shared" si="11"/>
        <v>1.094</v>
      </c>
      <c r="W96" s="29">
        <f t="shared" si="12"/>
        <v>1.124</v>
      </c>
      <c r="X96" s="29">
        <f t="shared" si="13"/>
        <v>0.021765772213140452</v>
      </c>
      <c r="Y96" s="29">
        <f t="shared" si="14"/>
        <v>0.02116</v>
      </c>
      <c r="Z96" s="29">
        <f t="shared" si="15"/>
        <v>0.0224</v>
      </c>
      <c r="AA96" s="29">
        <f t="shared" si="16"/>
        <v>6.986500000000001</v>
      </c>
      <c r="AB96" s="73">
        <f t="shared" si="23"/>
        <v>21210</v>
      </c>
      <c r="AC96" s="73">
        <f t="shared" si="24"/>
        <v>4630</v>
      </c>
      <c r="AD96" s="73">
        <f t="shared" si="25"/>
        <v>7800</v>
      </c>
    </row>
    <row r="97" spans="2:30" ht="15">
      <c r="B97" s="2">
        <v>0.236</v>
      </c>
      <c r="C97" s="7">
        <f t="shared" si="26"/>
        <v>0.04372136</v>
      </c>
      <c r="D97" s="15" t="s">
        <v>14</v>
      </c>
      <c r="E97" s="15" t="s">
        <v>20</v>
      </c>
      <c r="F97" s="14">
        <v>0.267</v>
      </c>
      <c r="G97" s="5">
        <v>0.283</v>
      </c>
      <c r="H97" s="5">
        <v>0.298</v>
      </c>
      <c r="I97" s="6">
        <f t="shared" si="18"/>
        <v>0.39079596763035856</v>
      </c>
      <c r="J97" s="6">
        <v>0.3747</v>
      </c>
      <c r="K97" s="6">
        <v>0.4079</v>
      </c>
      <c r="L97" s="7">
        <f t="shared" si="19"/>
        <v>0.389120104</v>
      </c>
      <c r="M97" s="70">
        <v>1163</v>
      </c>
      <c r="N97" s="71">
        <v>350</v>
      </c>
      <c r="O97" s="71">
        <v>412.6</v>
      </c>
      <c r="Q97" s="29">
        <f t="shared" si="6"/>
        <v>1</v>
      </c>
      <c r="R97" s="30">
        <f t="shared" si="7"/>
        <v>0.785</v>
      </c>
      <c r="S97" s="31">
        <f t="shared" si="8"/>
        <v>18</v>
      </c>
      <c r="T97" s="31">
        <f t="shared" si="9"/>
        <v>19</v>
      </c>
      <c r="U97" s="29">
        <f t="shared" si="10"/>
        <v>1.062</v>
      </c>
      <c r="V97" s="29">
        <f t="shared" si="11"/>
        <v>1.094</v>
      </c>
      <c r="W97" s="29">
        <f t="shared" si="12"/>
        <v>1.124</v>
      </c>
      <c r="X97" s="29">
        <f t="shared" si="13"/>
        <v>0.021765772213140452</v>
      </c>
      <c r="Y97" s="29">
        <f t="shared" si="14"/>
        <v>0.02116</v>
      </c>
      <c r="Z97" s="29">
        <f t="shared" si="15"/>
        <v>0.0224</v>
      </c>
      <c r="AA97" s="29">
        <f t="shared" si="16"/>
        <v>6.986500000000001</v>
      </c>
      <c r="AB97" s="73">
        <f t="shared" si="23"/>
        <v>21210</v>
      </c>
      <c r="AC97" s="73">
        <f t="shared" si="24"/>
        <v>4630</v>
      </c>
      <c r="AD97" s="73">
        <f t="shared" si="25"/>
        <v>7800</v>
      </c>
    </row>
    <row r="98" spans="2:30" ht="15">
      <c r="B98" s="5">
        <v>0.25</v>
      </c>
      <c r="C98" s="7">
        <f t="shared" si="26"/>
        <v>0.0490625</v>
      </c>
      <c r="D98" s="15">
        <v>30</v>
      </c>
      <c r="E98" s="15">
        <v>33</v>
      </c>
      <c r="F98" s="14">
        <v>0.281</v>
      </c>
      <c r="G98" s="5">
        <v>0.297</v>
      </c>
      <c r="H98" s="5">
        <v>0.312</v>
      </c>
      <c r="I98" s="6">
        <f t="shared" si="18"/>
        <v>0.34825235541024724</v>
      </c>
      <c r="J98" s="6">
        <v>0.3345</v>
      </c>
      <c r="K98" s="6">
        <v>0.3628</v>
      </c>
      <c r="L98" s="7">
        <f t="shared" si="19"/>
        <v>0.4366562500000001</v>
      </c>
      <c r="M98" s="70">
        <v>1375</v>
      </c>
      <c r="N98" s="71">
        <v>410</v>
      </c>
      <c r="O98" s="71">
        <v>487.5</v>
      </c>
      <c r="Q98" s="29">
        <f t="shared" si="6"/>
        <v>1</v>
      </c>
      <c r="R98" s="30">
        <f t="shared" si="7"/>
        <v>0.785</v>
      </c>
      <c r="S98" s="31">
        <f t="shared" si="8"/>
        <v>18</v>
      </c>
      <c r="T98" s="31">
        <f t="shared" si="9"/>
        <v>19</v>
      </c>
      <c r="U98" s="29">
        <f t="shared" si="10"/>
        <v>1.062</v>
      </c>
      <c r="V98" s="29">
        <f t="shared" si="11"/>
        <v>1.094</v>
      </c>
      <c r="W98" s="29">
        <f t="shared" si="12"/>
        <v>1.124</v>
      </c>
      <c r="X98" s="29">
        <f t="shared" si="13"/>
        <v>0.021765772213140452</v>
      </c>
      <c r="Y98" s="29">
        <f t="shared" si="14"/>
        <v>0.02116</v>
      </c>
      <c r="Z98" s="29">
        <f t="shared" si="15"/>
        <v>0.0224</v>
      </c>
      <c r="AA98" s="29">
        <f t="shared" si="16"/>
        <v>6.986500000000001</v>
      </c>
      <c r="AB98" s="73">
        <f t="shared" si="23"/>
        <v>21210</v>
      </c>
      <c r="AC98" s="73">
        <f t="shared" si="24"/>
        <v>4630</v>
      </c>
      <c r="AD98" s="73">
        <f t="shared" si="25"/>
        <v>7800</v>
      </c>
    </row>
    <row r="99" spans="2:30" ht="15">
      <c r="B99" s="2">
        <v>0.265</v>
      </c>
      <c r="C99" s="7">
        <f t="shared" si="26"/>
        <v>0.055126625000000005</v>
      </c>
      <c r="D99" s="15" t="s">
        <v>14</v>
      </c>
      <c r="E99" s="15" t="s">
        <v>20</v>
      </c>
      <c r="F99" s="14">
        <v>0.297</v>
      </c>
      <c r="G99" s="5">
        <v>0.314</v>
      </c>
      <c r="H99" s="5">
        <v>0.33</v>
      </c>
      <c r="I99" s="6">
        <f t="shared" si="18"/>
        <v>0.30994335654169386</v>
      </c>
      <c r="J99" s="6">
        <v>0.2982</v>
      </c>
      <c r="K99" s="6">
        <v>0.3223</v>
      </c>
      <c r="L99" s="7">
        <f t="shared" si="19"/>
        <v>0.4906269625000001</v>
      </c>
      <c r="M99" s="70">
        <v>1487</v>
      </c>
      <c r="N99" s="71">
        <v>438</v>
      </c>
      <c r="O99" s="71">
        <v>527.3</v>
      </c>
      <c r="Q99" s="29">
        <f t="shared" si="6"/>
        <v>1</v>
      </c>
      <c r="R99" s="30">
        <f t="shared" si="7"/>
        <v>0.785</v>
      </c>
      <c r="S99" s="31">
        <f t="shared" si="8"/>
        <v>18</v>
      </c>
      <c r="T99" s="31">
        <f t="shared" si="9"/>
        <v>19</v>
      </c>
      <c r="U99" s="29">
        <f t="shared" si="10"/>
        <v>1.062</v>
      </c>
      <c r="V99" s="29">
        <f t="shared" si="11"/>
        <v>1.094</v>
      </c>
      <c r="W99" s="29">
        <f t="shared" si="12"/>
        <v>1.124</v>
      </c>
      <c r="X99" s="29">
        <f t="shared" si="13"/>
        <v>0.021765772213140452</v>
      </c>
      <c r="Y99" s="29">
        <f t="shared" si="14"/>
        <v>0.02116</v>
      </c>
      <c r="Z99" s="29">
        <f t="shared" si="15"/>
        <v>0.0224</v>
      </c>
      <c r="AA99" s="29">
        <f t="shared" si="16"/>
        <v>6.986500000000001</v>
      </c>
      <c r="AB99" s="73">
        <f t="shared" si="23"/>
        <v>21210</v>
      </c>
      <c r="AC99" s="73">
        <f t="shared" si="24"/>
        <v>4630</v>
      </c>
      <c r="AD99" s="73">
        <f t="shared" si="25"/>
        <v>7800</v>
      </c>
    </row>
    <row r="100" spans="2:30" ht="15">
      <c r="B100" s="5">
        <v>0.28</v>
      </c>
      <c r="C100" s="7">
        <f t="shared" si="26"/>
        <v>0.061544000000000015</v>
      </c>
      <c r="D100" s="15">
        <v>29</v>
      </c>
      <c r="E100" s="15">
        <v>32</v>
      </c>
      <c r="F100" s="14">
        <v>0.312</v>
      </c>
      <c r="G100" s="5">
        <v>0.329</v>
      </c>
      <c r="H100" s="5">
        <v>0.345</v>
      </c>
      <c r="I100" s="6">
        <f t="shared" si="18"/>
        <v>0.277624645575771</v>
      </c>
      <c r="J100" s="6">
        <v>0.2676</v>
      </c>
      <c r="K100" s="6">
        <v>0.2882</v>
      </c>
      <c r="L100" s="7">
        <f t="shared" si="19"/>
        <v>0.5477416000000002</v>
      </c>
      <c r="M100" s="70">
        <v>1724</v>
      </c>
      <c r="N100" s="71">
        <v>505</v>
      </c>
      <c r="O100" s="71">
        <v>611.5</v>
      </c>
      <c r="Q100" s="29">
        <f aca="true" t="shared" si="27" ref="Q100:Q131">IF($B$7=B100,B100,Q101)</f>
        <v>1</v>
      </c>
      <c r="R100" s="30">
        <f aca="true" t="shared" si="28" ref="R100:R131">IF(Q100=B100,C100,R101)</f>
        <v>0.785</v>
      </c>
      <c r="S100" s="31">
        <f aca="true" t="shared" si="29" ref="S100:S131">IF(Q100=B100,D100,S101)</f>
        <v>18</v>
      </c>
      <c r="T100" s="31">
        <f aca="true" t="shared" si="30" ref="T100:T131">IF(Q100=B100,E100,T101)</f>
        <v>19</v>
      </c>
      <c r="U100" s="29">
        <f aca="true" t="shared" si="31" ref="U100:U131">IF(Q100=B100,F100,U101)</f>
        <v>1.062</v>
      </c>
      <c r="V100" s="29">
        <f aca="true" t="shared" si="32" ref="V100:V131">IF(Q100=B100,G100,V101)</f>
        <v>1.094</v>
      </c>
      <c r="W100" s="29">
        <f aca="true" t="shared" si="33" ref="W100:W131">IF(Q100=B100,H100,W101)</f>
        <v>1.124</v>
      </c>
      <c r="X100" s="29">
        <f aca="true" t="shared" si="34" ref="X100:X131">IF(Q100=B100,I100,X101)</f>
        <v>0.021765772213140452</v>
      </c>
      <c r="Y100" s="29">
        <f aca="true" t="shared" si="35" ref="Y100:Y131">IF(Q100=B100,J100,Y101)</f>
        <v>0.02116</v>
      </c>
      <c r="Z100" s="29">
        <f aca="true" t="shared" si="36" ref="Z100:Z131">IF(Q100=B100,K100,Z101)</f>
        <v>0.0224</v>
      </c>
      <c r="AA100" s="29">
        <f aca="true" t="shared" si="37" ref="AA100:AA131">IF(Q100=B100,L100,AA101)</f>
        <v>6.986500000000001</v>
      </c>
      <c r="AB100" s="73">
        <f t="shared" si="23"/>
        <v>21210</v>
      </c>
      <c r="AC100" s="73">
        <f t="shared" si="24"/>
        <v>4630</v>
      </c>
      <c r="AD100" s="73">
        <f t="shared" si="25"/>
        <v>7800</v>
      </c>
    </row>
    <row r="101" spans="2:30" ht="15">
      <c r="B101" s="2">
        <v>0.3</v>
      </c>
      <c r="C101" s="7">
        <f t="shared" si="26"/>
        <v>0.07064999999999999</v>
      </c>
      <c r="D101" s="15" t="s">
        <v>14</v>
      </c>
      <c r="E101" s="15" t="s">
        <v>20</v>
      </c>
      <c r="F101" s="14">
        <v>0.334</v>
      </c>
      <c r="G101" s="5">
        <v>0.352</v>
      </c>
      <c r="H101" s="5">
        <v>0.369</v>
      </c>
      <c r="I101" s="6">
        <f t="shared" si="18"/>
        <v>0.2418419134793384</v>
      </c>
      <c r="J101" s="6">
        <v>0.2335</v>
      </c>
      <c r="K101" s="6">
        <v>0.2506</v>
      </c>
      <c r="L101" s="7">
        <f t="shared" si="19"/>
        <v>0.6287849999999999</v>
      </c>
      <c r="M101" s="70">
        <v>1979</v>
      </c>
      <c r="N101" s="71">
        <v>565</v>
      </c>
      <c r="O101" s="71">
        <v>702</v>
      </c>
      <c r="Q101" s="29">
        <f t="shared" si="27"/>
        <v>1</v>
      </c>
      <c r="R101" s="30">
        <f t="shared" si="28"/>
        <v>0.785</v>
      </c>
      <c r="S101" s="31">
        <f t="shared" si="29"/>
        <v>18</v>
      </c>
      <c r="T101" s="31">
        <f t="shared" si="30"/>
        <v>19</v>
      </c>
      <c r="U101" s="29">
        <f t="shared" si="31"/>
        <v>1.062</v>
      </c>
      <c r="V101" s="29">
        <f t="shared" si="32"/>
        <v>1.094</v>
      </c>
      <c r="W101" s="29">
        <f t="shared" si="33"/>
        <v>1.124</v>
      </c>
      <c r="X101" s="29">
        <f t="shared" si="34"/>
        <v>0.021765772213140452</v>
      </c>
      <c r="Y101" s="29">
        <f t="shared" si="35"/>
        <v>0.02116</v>
      </c>
      <c r="Z101" s="29">
        <f t="shared" si="36"/>
        <v>0.0224</v>
      </c>
      <c r="AA101" s="29">
        <f t="shared" si="37"/>
        <v>6.986500000000001</v>
      </c>
      <c r="AB101" s="73">
        <f t="shared" si="23"/>
        <v>21210</v>
      </c>
      <c r="AC101" s="73">
        <f t="shared" si="24"/>
        <v>4630</v>
      </c>
      <c r="AD101" s="73">
        <f t="shared" si="25"/>
        <v>7800</v>
      </c>
    </row>
    <row r="102" spans="2:30" ht="15">
      <c r="B102" s="5">
        <v>0.315</v>
      </c>
      <c r="C102" s="7">
        <f t="shared" si="26"/>
        <v>0.077891625</v>
      </c>
      <c r="D102" s="15">
        <v>28</v>
      </c>
      <c r="E102" s="15">
        <v>30</v>
      </c>
      <c r="F102" s="14">
        <v>0.349</v>
      </c>
      <c r="G102" s="5">
        <v>0.367</v>
      </c>
      <c r="H102" s="5">
        <v>0.384</v>
      </c>
      <c r="I102" s="6">
        <f t="shared" si="18"/>
        <v>0.21935774465246108</v>
      </c>
      <c r="J102" s="6">
        <v>0.2121</v>
      </c>
      <c r="K102" s="6">
        <v>0.227</v>
      </c>
      <c r="L102" s="7">
        <f t="shared" si="19"/>
        <v>0.6932354625</v>
      </c>
      <c r="M102" s="70">
        <v>1979</v>
      </c>
      <c r="N102" s="71">
        <v>565</v>
      </c>
      <c r="O102" s="71">
        <v>702</v>
      </c>
      <c r="Q102" s="29">
        <f t="shared" si="27"/>
        <v>1</v>
      </c>
      <c r="R102" s="30">
        <f t="shared" si="28"/>
        <v>0.785</v>
      </c>
      <c r="S102" s="31">
        <f t="shared" si="29"/>
        <v>18</v>
      </c>
      <c r="T102" s="31">
        <f t="shared" si="30"/>
        <v>19</v>
      </c>
      <c r="U102" s="29">
        <f t="shared" si="31"/>
        <v>1.062</v>
      </c>
      <c r="V102" s="29">
        <f t="shared" si="32"/>
        <v>1.094</v>
      </c>
      <c r="W102" s="29">
        <f t="shared" si="33"/>
        <v>1.124</v>
      </c>
      <c r="X102" s="29">
        <f t="shared" si="34"/>
        <v>0.021765772213140452</v>
      </c>
      <c r="Y102" s="29">
        <f t="shared" si="35"/>
        <v>0.02116</v>
      </c>
      <c r="Z102" s="29">
        <f t="shared" si="36"/>
        <v>0.0224</v>
      </c>
      <c r="AA102" s="29">
        <f t="shared" si="37"/>
        <v>6.986500000000001</v>
      </c>
      <c r="AB102" s="73">
        <f t="shared" si="23"/>
        <v>21210</v>
      </c>
      <c r="AC102" s="73">
        <f t="shared" si="24"/>
        <v>4630</v>
      </c>
      <c r="AD102" s="73">
        <f t="shared" si="25"/>
        <v>7800</v>
      </c>
    </row>
    <row r="103" spans="2:30" ht="15">
      <c r="B103" s="2">
        <v>0.335</v>
      </c>
      <c r="C103" s="7">
        <f t="shared" si="26"/>
        <v>0.08809662500000001</v>
      </c>
      <c r="D103" s="15" t="s">
        <v>14</v>
      </c>
      <c r="E103" s="5" t="s">
        <v>20</v>
      </c>
      <c r="F103" s="14">
        <v>0.372</v>
      </c>
      <c r="G103" s="5">
        <v>0.391</v>
      </c>
      <c r="H103" s="5">
        <v>0.408</v>
      </c>
      <c r="I103" s="6">
        <f t="shared" si="18"/>
        <v>0.19394762497786097</v>
      </c>
      <c r="J103" s="6">
        <v>0.1878</v>
      </c>
      <c r="K103" s="6">
        <v>0.2004</v>
      </c>
      <c r="L103" s="7">
        <f t="shared" si="19"/>
        <v>0.7840599625000002</v>
      </c>
      <c r="M103" s="24">
        <v>2252</v>
      </c>
      <c r="N103" s="25">
        <v>635</v>
      </c>
      <c r="O103" s="25">
        <v>799</v>
      </c>
      <c r="Q103" s="29">
        <f t="shared" si="27"/>
        <v>1</v>
      </c>
      <c r="R103" s="30">
        <f t="shared" si="28"/>
        <v>0.785</v>
      </c>
      <c r="S103" s="31">
        <f t="shared" si="29"/>
        <v>18</v>
      </c>
      <c r="T103" s="31">
        <f t="shared" si="30"/>
        <v>19</v>
      </c>
      <c r="U103" s="29">
        <f t="shared" si="31"/>
        <v>1.062</v>
      </c>
      <c r="V103" s="29">
        <f t="shared" si="32"/>
        <v>1.094</v>
      </c>
      <c r="W103" s="29">
        <f t="shared" si="33"/>
        <v>1.124</v>
      </c>
      <c r="X103" s="29">
        <f t="shared" si="34"/>
        <v>0.021765772213140452</v>
      </c>
      <c r="Y103" s="29">
        <f t="shared" si="35"/>
        <v>0.02116</v>
      </c>
      <c r="Z103" s="29">
        <f t="shared" si="36"/>
        <v>0.0224</v>
      </c>
      <c r="AA103" s="29">
        <f t="shared" si="37"/>
        <v>6.986500000000001</v>
      </c>
      <c r="AB103" s="73">
        <f t="shared" si="23"/>
        <v>21210</v>
      </c>
      <c r="AC103" s="73">
        <f t="shared" si="24"/>
        <v>4630</v>
      </c>
      <c r="AD103" s="73">
        <f t="shared" si="25"/>
        <v>7800</v>
      </c>
    </row>
    <row r="104" spans="2:30" ht="15">
      <c r="B104" s="5">
        <v>0.355</v>
      </c>
      <c r="C104" s="7">
        <f t="shared" si="26"/>
        <v>0.098929625</v>
      </c>
      <c r="D104" s="15">
        <v>27</v>
      </c>
      <c r="E104" s="15">
        <v>29</v>
      </c>
      <c r="F104" s="14">
        <v>0.392</v>
      </c>
      <c r="G104" s="5">
        <v>0.411</v>
      </c>
      <c r="H104" s="5">
        <v>0.428</v>
      </c>
      <c r="I104" s="6">
        <f t="shared" si="18"/>
        <v>0.17270995606538744</v>
      </c>
      <c r="J104" s="6">
        <v>0.1674</v>
      </c>
      <c r="K104" s="6">
        <v>0.1782</v>
      </c>
      <c r="L104" s="7">
        <f t="shared" si="19"/>
        <v>0.8804736624999999</v>
      </c>
      <c r="M104" s="24">
        <v>2694</v>
      </c>
      <c r="N104" s="25">
        <v>746</v>
      </c>
      <c r="O104" s="25">
        <v>956</v>
      </c>
      <c r="Q104" s="29">
        <f t="shared" si="27"/>
        <v>1</v>
      </c>
      <c r="R104" s="30">
        <f t="shared" si="28"/>
        <v>0.785</v>
      </c>
      <c r="S104" s="31">
        <f t="shared" si="29"/>
        <v>18</v>
      </c>
      <c r="T104" s="31">
        <f t="shared" si="30"/>
        <v>19</v>
      </c>
      <c r="U104" s="29">
        <f t="shared" si="31"/>
        <v>1.062</v>
      </c>
      <c r="V104" s="29">
        <f t="shared" si="32"/>
        <v>1.094</v>
      </c>
      <c r="W104" s="29">
        <f t="shared" si="33"/>
        <v>1.124</v>
      </c>
      <c r="X104" s="29">
        <f t="shared" si="34"/>
        <v>0.021765772213140452</v>
      </c>
      <c r="Y104" s="29">
        <f t="shared" si="35"/>
        <v>0.02116</v>
      </c>
      <c r="Z104" s="29">
        <f t="shared" si="36"/>
        <v>0.0224</v>
      </c>
      <c r="AA104" s="29">
        <f t="shared" si="37"/>
        <v>6.986500000000001</v>
      </c>
      <c r="AB104" s="73">
        <f t="shared" si="23"/>
        <v>21210</v>
      </c>
      <c r="AC104" s="73">
        <f t="shared" si="24"/>
        <v>4630</v>
      </c>
      <c r="AD104" s="73">
        <f t="shared" si="25"/>
        <v>7800</v>
      </c>
    </row>
    <row r="105" spans="2:30" ht="15">
      <c r="B105" s="2">
        <v>0.375</v>
      </c>
      <c r="C105" s="6">
        <f t="shared" si="26"/>
        <v>0.11039062499999999</v>
      </c>
      <c r="D105" s="15" t="s">
        <v>14</v>
      </c>
      <c r="E105" s="5" t="s">
        <v>20</v>
      </c>
      <c r="F105" s="14">
        <v>0.414</v>
      </c>
      <c r="G105" s="5">
        <v>0.434</v>
      </c>
      <c r="H105" s="5">
        <v>0.453</v>
      </c>
      <c r="I105" s="6">
        <f t="shared" si="18"/>
        <v>0.15477882462677656</v>
      </c>
      <c r="J105" s="6">
        <v>0.1494</v>
      </c>
      <c r="K105" s="6">
        <v>0.1604</v>
      </c>
      <c r="L105" s="7">
        <f t="shared" si="19"/>
        <v>0.9824765624999999</v>
      </c>
      <c r="M105" s="24">
        <v>3010</v>
      </c>
      <c r="N105" s="25">
        <v>820</v>
      </c>
      <c r="O105" s="25">
        <v>1070</v>
      </c>
      <c r="Q105" s="29">
        <f t="shared" si="27"/>
        <v>1</v>
      </c>
      <c r="R105" s="30">
        <f t="shared" si="28"/>
        <v>0.785</v>
      </c>
      <c r="S105" s="31">
        <f t="shared" si="29"/>
        <v>18</v>
      </c>
      <c r="T105" s="31">
        <f t="shared" si="30"/>
        <v>19</v>
      </c>
      <c r="U105" s="29">
        <f t="shared" si="31"/>
        <v>1.062</v>
      </c>
      <c r="V105" s="29">
        <f t="shared" si="32"/>
        <v>1.094</v>
      </c>
      <c r="W105" s="29">
        <f t="shared" si="33"/>
        <v>1.124</v>
      </c>
      <c r="X105" s="29">
        <f t="shared" si="34"/>
        <v>0.021765772213140452</v>
      </c>
      <c r="Y105" s="29">
        <f t="shared" si="35"/>
        <v>0.02116</v>
      </c>
      <c r="Z105" s="29">
        <f t="shared" si="36"/>
        <v>0.0224</v>
      </c>
      <c r="AA105" s="29">
        <f t="shared" si="37"/>
        <v>6.986500000000001</v>
      </c>
      <c r="AB105" s="73">
        <f t="shared" si="23"/>
        <v>21210</v>
      </c>
      <c r="AC105" s="73">
        <f t="shared" si="24"/>
        <v>4630</v>
      </c>
      <c r="AD105" s="73">
        <f t="shared" si="25"/>
        <v>7800</v>
      </c>
    </row>
    <row r="106" spans="2:30" ht="15">
      <c r="B106" s="5">
        <v>0.4</v>
      </c>
      <c r="C106" s="6">
        <f t="shared" si="26"/>
        <v>0.12560000000000002</v>
      </c>
      <c r="D106" s="15">
        <v>26</v>
      </c>
      <c r="E106" s="15">
        <v>27</v>
      </c>
      <c r="F106" s="14">
        <v>0.439</v>
      </c>
      <c r="G106" s="5">
        <v>0.459</v>
      </c>
      <c r="H106" s="5">
        <v>0.478</v>
      </c>
      <c r="I106" s="6">
        <f t="shared" si="18"/>
        <v>0.1360360763321278</v>
      </c>
      <c r="J106" s="6">
        <v>0.1316</v>
      </c>
      <c r="K106" s="6">
        <v>0.1407</v>
      </c>
      <c r="L106" s="6">
        <f t="shared" si="19"/>
        <v>1.1178400000000002</v>
      </c>
      <c r="M106" s="24">
        <v>3520</v>
      </c>
      <c r="N106" s="25">
        <v>950</v>
      </c>
      <c r="O106" s="25">
        <v>1250</v>
      </c>
      <c r="Q106" s="29">
        <f t="shared" si="27"/>
        <v>1</v>
      </c>
      <c r="R106" s="30">
        <f t="shared" si="28"/>
        <v>0.785</v>
      </c>
      <c r="S106" s="31">
        <f t="shared" si="29"/>
        <v>18</v>
      </c>
      <c r="T106" s="31">
        <f t="shared" si="30"/>
        <v>19</v>
      </c>
      <c r="U106" s="29">
        <f t="shared" si="31"/>
        <v>1.062</v>
      </c>
      <c r="V106" s="29">
        <f t="shared" si="32"/>
        <v>1.094</v>
      </c>
      <c r="W106" s="29">
        <f t="shared" si="33"/>
        <v>1.124</v>
      </c>
      <c r="X106" s="29">
        <f t="shared" si="34"/>
        <v>0.021765772213140452</v>
      </c>
      <c r="Y106" s="29">
        <f t="shared" si="35"/>
        <v>0.02116</v>
      </c>
      <c r="Z106" s="29">
        <f t="shared" si="36"/>
        <v>0.0224</v>
      </c>
      <c r="AA106" s="29">
        <f t="shared" si="37"/>
        <v>6.986500000000001</v>
      </c>
      <c r="AB106" s="73">
        <f t="shared" si="23"/>
        <v>21210</v>
      </c>
      <c r="AC106" s="73">
        <f t="shared" si="24"/>
        <v>4630</v>
      </c>
      <c r="AD106" s="73">
        <f t="shared" si="25"/>
        <v>7800</v>
      </c>
    </row>
    <row r="107" spans="2:30" ht="15">
      <c r="B107" s="2">
        <v>0.425</v>
      </c>
      <c r="C107" s="6">
        <f t="shared" si="26"/>
        <v>0.141790625</v>
      </c>
      <c r="D107" s="15" t="s">
        <v>14</v>
      </c>
      <c r="E107" s="15" t="s">
        <v>20</v>
      </c>
      <c r="F107" s="14">
        <v>0.466</v>
      </c>
      <c r="G107" s="5">
        <v>0.488</v>
      </c>
      <c r="H107" s="5">
        <v>0.508</v>
      </c>
      <c r="I107" s="6">
        <f t="shared" si="18"/>
        <v>0.12050254512465301</v>
      </c>
      <c r="J107" s="6">
        <v>0.1167</v>
      </c>
      <c r="K107" s="6">
        <v>0.1244</v>
      </c>
      <c r="L107" s="6">
        <f t="shared" si="19"/>
        <v>1.2619365625</v>
      </c>
      <c r="M107" s="24">
        <v>3520</v>
      </c>
      <c r="N107" s="25">
        <v>950</v>
      </c>
      <c r="O107" s="25">
        <v>1250</v>
      </c>
      <c r="Q107" s="29">
        <f t="shared" si="27"/>
        <v>1</v>
      </c>
      <c r="R107" s="30">
        <f t="shared" si="28"/>
        <v>0.785</v>
      </c>
      <c r="S107" s="31">
        <f t="shared" si="29"/>
        <v>18</v>
      </c>
      <c r="T107" s="31">
        <f t="shared" si="30"/>
        <v>19</v>
      </c>
      <c r="U107" s="29">
        <f t="shared" si="31"/>
        <v>1.062</v>
      </c>
      <c r="V107" s="29">
        <f t="shared" si="32"/>
        <v>1.094</v>
      </c>
      <c r="W107" s="29">
        <f t="shared" si="33"/>
        <v>1.124</v>
      </c>
      <c r="X107" s="29">
        <f t="shared" si="34"/>
        <v>0.021765772213140452</v>
      </c>
      <c r="Y107" s="29">
        <f t="shared" si="35"/>
        <v>0.02116</v>
      </c>
      <c r="Z107" s="29">
        <f t="shared" si="36"/>
        <v>0.0224</v>
      </c>
      <c r="AA107" s="29">
        <f t="shared" si="37"/>
        <v>6.986500000000001</v>
      </c>
      <c r="AB107" s="73">
        <f t="shared" si="23"/>
        <v>21210</v>
      </c>
      <c r="AC107" s="73">
        <f t="shared" si="24"/>
        <v>4630</v>
      </c>
      <c r="AD107" s="73">
        <f t="shared" si="25"/>
        <v>7800</v>
      </c>
    </row>
    <row r="108" spans="2:30" ht="15">
      <c r="B108" s="5">
        <v>0.45</v>
      </c>
      <c r="C108" s="6">
        <f t="shared" si="26"/>
        <v>0.1589625</v>
      </c>
      <c r="D108" s="15">
        <v>25</v>
      </c>
      <c r="E108" s="15">
        <v>26</v>
      </c>
      <c r="F108" s="14">
        <v>0.491</v>
      </c>
      <c r="G108" s="5">
        <v>0.513</v>
      </c>
      <c r="H108" s="5">
        <v>0.533</v>
      </c>
      <c r="I108" s="6">
        <f t="shared" si="18"/>
        <v>0.10748529487970593</v>
      </c>
      <c r="J108" s="6">
        <v>0.1042</v>
      </c>
      <c r="K108" s="6">
        <v>0.1109</v>
      </c>
      <c r="L108" s="6">
        <f t="shared" si="19"/>
        <v>1.4147662500000002</v>
      </c>
      <c r="M108" s="24">
        <v>4452</v>
      </c>
      <c r="N108" s="25">
        <v>1160</v>
      </c>
      <c r="O108" s="25">
        <v>1580</v>
      </c>
      <c r="Q108" s="29">
        <f t="shared" si="27"/>
        <v>1</v>
      </c>
      <c r="R108" s="30">
        <f t="shared" si="28"/>
        <v>0.785</v>
      </c>
      <c r="S108" s="31">
        <f t="shared" si="29"/>
        <v>18</v>
      </c>
      <c r="T108" s="31">
        <f t="shared" si="30"/>
        <v>19</v>
      </c>
      <c r="U108" s="29">
        <f t="shared" si="31"/>
        <v>1.062</v>
      </c>
      <c r="V108" s="29">
        <f t="shared" si="32"/>
        <v>1.094</v>
      </c>
      <c r="W108" s="29">
        <f t="shared" si="33"/>
        <v>1.124</v>
      </c>
      <c r="X108" s="29">
        <f t="shared" si="34"/>
        <v>0.021765772213140452</v>
      </c>
      <c r="Y108" s="29">
        <f t="shared" si="35"/>
        <v>0.02116</v>
      </c>
      <c r="Z108" s="29">
        <f t="shared" si="36"/>
        <v>0.0224</v>
      </c>
      <c r="AA108" s="29">
        <f t="shared" si="37"/>
        <v>6.986500000000001</v>
      </c>
      <c r="AB108" s="73">
        <f t="shared" si="23"/>
        <v>21210</v>
      </c>
      <c r="AC108" s="73">
        <f t="shared" si="24"/>
        <v>4630</v>
      </c>
      <c r="AD108" s="73">
        <f t="shared" si="25"/>
        <v>7800</v>
      </c>
    </row>
    <row r="109" spans="2:30" ht="15">
      <c r="B109" s="2">
        <v>0.475</v>
      </c>
      <c r="C109" s="6">
        <f t="shared" si="26"/>
        <v>0.177115625</v>
      </c>
      <c r="D109" s="15" t="s">
        <v>14</v>
      </c>
      <c r="E109" s="15" t="s">
        <v>20</v>
      </c>
      <c r="F109" s="14">
        <v>0.519</v>
      </c>
      <c r="G109" s="5">
        <v>0.541</v>
      </c>
      <c r="H109" s="5">
        <v>0.562</v>
      </c>
      <c r="I109" s="7">
        <f t="shared" si="18"/>
        <v>0.09646879651253386</v>
      </c>
      <c r="J109" s="7">
        <v>0.09366</v>
      </c>
      <c r="K109" s="7">
        <v>0.09938</v>
      </c>
      <c r="L109" s="6">
        <f t="shared" si="19"/>
        <v>1.5763290625</v>
      </c>
      <c r="M109" s="24">
        <v>4452</v>
      </c>
      <c r="N109" s="25">
        <v>1160</v>
      </c>
      <c r="O109" s="25">
        <v>1580</v>
      </c>
      <c r="Q109" s="29">
        <f t="shared" si="27"/>
        <v>1</v>
      </c>
      <c r="R109" s="30">
        <f t="shared" si="28"/>
        <v>0.785</v>
      </c>
      <c r="S109" s="31">
        <f t="shared" si="29"/>
        <v>18</v>
      </c>
      <c r="T109" s="31">
        <f t="shared" si="30"/>
        <v>19</v>
      </c>
      <c r="U109" s="29">
        <f t="shared" si="31"/>
        <v>1.062</v>
      </c>
      <c r="V109" s="29">
        <f t="shared" si="32"/>
        <v>1.094</v>
      </c>
      <c r="W109" s="29">
        <f t="shared" si="33"/>
        <v>1.124</v>
      </c>
      <c r="X109" s="29">
        <f t="shared" si="34"/>
        <v>0.021765772213140452</v>
      </c>
      <c r="Y109" s="29">
        <f t="shared" si="35"/>
        <v>0.02116</v>
      </c>
      <c r="Z109" s="29">
        <f t="shared" si="36"/>
        <v>0.0224</v>
      </c>
      <c r="AA109" s="29">
        <f t="shared" si="37"/>
        <v>6.986500000000001</v>
      </c>
      <c r="AB109" s="73">
        <f t="shared" si="23"/>
        <v>21210</v>
      </c>
      <c r="AC109" s="73">
        <f t="shared" si="24"/>
        <v>4630</v>
      </c>
      <c r="AD109" s="73">
        <f t="shared" si="25"/>
        <v>7800</v>
      </c>
    </row>
    <row r="110" spans="2:30" ht="15">
      <c r="B110" s="5">
        <v>0.5</v>
      </c>
      <c r="C110" s="6">
        <f t="shared" si="26"/>
        <v>0.19625</v>
      </c>
      <c r="D110" s="15">
        <v>24</v>
      </c>
      <c r="E110" s="15">
        <v>25</v>
      </c>
      <c r="F110" s="14">
        <v>0.544</v>
      </c>
      <c r="G110" s="5">
        <v>0.566</v>
      </c>
      <c r="H110" s="5">
        <v>0.587</v>
      </c>
      <c r="I110" s="7">
        <f t="shared" si="18"/>
        <v>0.08706308885256181</v>
      </c>
      <c r="J110" s="7">
        <v>0.08462</v>
      </c>
      <c r="K110" s="7">
        <v>0.08959</v>
      </c>
      <c r="L110" s="6">
        <f t="shared" si="19"/>
        <v>1.7466250000000003</v>
      </c>
      <c r="M110" s="24">
        <v>5499</v>
      </c>
      <c r="N110" s="25">
        <v>1400</v>
      </c>
      <c r="O110" s="25">
        <v>1950</v>
      </c>
      <c r="Q110" s="29">
        <f t="shared" si="27"/>
        <v>1</v>
      </c>
      <c r="R110" s="30">
        <f t="shared" si="28"/>
        <v>0.785</v>
      </c>
      <c r="S110" s="31">
        <f t="shared" si="29"/>
        <v>18</v>
      </c>
      <c r="T110" s="31">
        <f t="shared" si="30"/>
        <v>19</v>
      </c>
      <c r="U110" s="29">
        <f t="shared" si="31"/>
        <v>1.062</v>
      </c>
      <c r="V110" s="29">
        <f t="shared" si="32"/>
        <v>1.094</v>
      </c>
      <c r="W110" s="29">
        <f t="shared" si="33"/>
        <v>1.124</v>
      </c>
      <c r="X110" s="29">
        <f t="shared" si="34"/>
        <v>0.021765772213140452</v>
      </c>
      <c r="Y110" s="29">
        <f t="shared" si="35"/>
        <v>0.02116</v>
      </c>
      <c r="Z110" s="29">
        <f t="shared" si="36"/>
        <v>0.0224</v>
      </c>
      <c r="AA110" s="29">
        <f t="shared" si="37"/>
        <v>6.986500000000001</v>
      </c>
      <c r="AB110" s="73">
        <f t="shared" si="23"/>
        <v>21210</v>
      </c>
      <c r="AC110" s="73">
        <f t="shared" si="24"/>
        <v>4630</v>
      </c>
      <c r="AD110" s="73">
        <f t="shared" si="25"/>
        <v>7800</v>
      </c>
    </row>
    <row r="111" spans="2:30" ht="15">
      <c r="B111" s="2">
        <v>0.53</v>
      </c>
      <c r="C111" s="6">
        <f t="shared" si="26"/>
        <v>0.22050650000000002</v>
      </c>
      <c r="D111" s="15" t="s">
        <v>14</v>
      </c>
      <c r="E111" s="15" t="s">
        <v>20</v>
      </c>
      <c r="F111" s="14">
        <v>0.576</v>
      </c>
      <c r="G111" s="5">
        <v>0.6</v>
      </c>
      <c r="H111" s="5">
        <v>0.623</v>
      </c>
      <c r="I111" s="7">
        <f t="shared" si="18"/>
        <v>0.07748583913542346</v>
      </c>
      <c r="J111" s="7">
        <v>0.07512</v>
      </c>
      <c r="K111" s="7">
        <v>0.07995</v>
      </c>
      <c r="L111" s="6">
        <f t="shared" si="19"/>
        <v>1.9625078500000004</v>
      </c>
      <c r="M111" s="24">
        <v>5499</v>
      </c>
      <c r="N111" s="25">
        <v>1400</v>
      </c>
      <c r="O111" s="25">
        <v>1950</v>
      </c>
      <c r="Q111" s="29">
        <f t="shared" si="27"/>
        <v>1</v>
      </c>
      <c r="R111" s="30">
        <f t="shared" si="28"/>
        <v>0.785</v>
      </c>
      <c r="S111" s="31">
        <f t="shared" si="29"/>
        <v>18</v>
      </c>
      <c r="T111" s="31">
        <f t="shared" si="30"/>
        <v>19</v>
      </c>
      <c r="U111" s="29">
        <f t="shared" si="31"/>
        <v>1.062</v>
      </c>
      <c r="V111" s="29">
        <f t="shared" si="32"/>
        <v>1.094</v>
      </c>
      <c r="W111" s="29">
        <f t="shared" si="33"/>
        <v>1.124</v>
      </c>
      <c r="X111" s="29">
        <f t="shared" si="34"/>
        <v>0.021765772213140452</v>
      </c>
      <c r="Y111" s="29">
        <f t="shared" si="35"/>
        <v>0.02116</v>
      </c>
      <c r="Z111" s="29">
        <f t="shared" si="36"/>
        <v>0.0224</v>
      </c>
      <c r="AA111" s="29">
        <f t="shared" si="37"/>
        <v>6.986500000000001</v>
      </c>
      <c r="AB111" s="73">
        <f t="shared" si="23"/>
        <v>21210</v>
      </c>
      <c r="AC111" s="73">
        <f t="shared" si="24"/>
        <v>4630</v>
      </c>
      <c r="AD111" s="73">
        <f t="shared" si="25"/>
        <v>7800</v>
      </c>
    </row>
    <row r="112" spans="2:30" ht="15">
      <c r="B112" s="5">
        <v>0.56</v>
      </c>
      <c r="C112" s="6">
        <f t="shared" si="26"/>
        <v>0.24617600000000006</v>
      </c>
      <c r="D112" s="15">
        <v>23</v>
      </c>
      <c r="E112" s="15">
        <v>24</v>
      </c>
      <c r="F112" s="14">
        <v>0.606</v>
      </c>
      <c r="G112" s="5">
        <v>0.63</v>
      </c>
      <c r="H112" s="5">
        <v>0.653</v>
      </c>
      <c r="I112" s="7">
        <f t="shared" si="18"/>
        <v>0.06940616139394275</v>
      </c>
      <c r="J112" s="7">
        <v>0.06736</v>
      </c>
      <c r="K112" s="7">
        <v>0.07153</v>
      </c>
      <c r="L112" s="6">
        <f t="shared" si="19"/>
        <v>2.1909664000000006</v>
      </c>
      <c r="M112" s="24">
        <v>6653</v>
      </c>
      <c r="N112" s="25">
        <v>1650</v>
      </c>
      <c r="O112" s="25">
        <v>2360</v>
      </c>
      <c r="Q112" s="29">
        <f t="shared" si="27"/>
        <v>1</v>
      </c>
      <c r="R112" s="30">
        <f t="shared" si="28"/>
        <v>0.785</v>
      </c>
      <c r="S112" s="31">
        <f t="shared" si="29"/>
        <v>18</v>
      </c>
      <c r="T112" s="31">
        <f t="shared" si="30"/>
        <v>19</v>
      </c>
      <c r="U112" s="29">
        <f t="shared" si="31"/>
        <v>1.062</v>
      </c>
      <c r="V112" s="29">
        <f t="shared" si="32"/>
        <v>1.094</v>
      </c>
      <c r="W112" s="29">
        <f t="shared" si="33"/>
        <v>1.124</v>
      </c>
      <c r="X112" s="29">
        <f t="shared" si="34"/>
        <v>0.021765772213140452</v>
      </c>
      <c r="Y112" s="29">
        <f t="shared" si="35"/>
        <v>0.02116</v>
      </c>
      <c r="Z112" s="29">
        <f t="shared" si="36"/>
        <v>0.0224</v>
      </c>
      <c r="AA112" s="29">
        <f t="shared" si="37"/>
        <v>6.986500000000001</v>
      </c>
      <c r="AB112" s="73">
        <f t="shared" si="23"/>
        <v>21210</v>
      </c>
      <c r="AC112" s="73">
        <f t="shared" si="24"/>
        <v>4630</v>
      </c>
      <c r="AD112" s="73">
        <f t="shared" si="25"/>
        <v>7800</v>
      </c>
    </row>
    <row r="113" spans="2:30" ht="15">
      <c r="B113" s="2">
        <v>0.6</v>
      </c>
      <c r="C113" s="6">
        <f t="shared" si="26"/>
        <v>0.28259999999999996</v>
      </c>
      <c r="D113" s="15" t="s">
        <v>14</v>
      </c>
      <c r="E113" s="15" t="s">
        <v>20</v>
      </c>
      <c r="F113" s="14">
        <v>0.649</v>
      </c>
      <c r="G113" s="5">
        <v>0.674</v>
      </c>
      <c r="H113" s="5">
        <v>0.698</v>
      </c>
      <c r="I113" s="7">
        <f t="shared" si="18"/>
        <v>0.0604604783698346</v>
      </c>
      <c r="J113" s="7">
        <v>0.05876</v>
      </c>
      <c r="K113" s="7">
        <v>0.06222</v>
      </c>
      <c r="L113" s="6">
        <f t="shared" si="19"/>
        <v>2.5151399999999997</v>
      </c>
      <c r="M113" s="24">
        <v>7916</v>
      </c>
      <c r="N113" s="25">
        <v>1930</v>
      </c>
      <c r="O113" s="25">
        <v>2810</v>
      </c>
      <c r="Q113" s="29">
        <f t="shared" si="27"/>
        <v>1</v>
      </c>
      <c r="R113" s="30">
        <f t="shared" si="28"/>
        <v>0.785</v>
      </c>
      <c r="S113" s="31">
        <f t="shared" si="29"/>
        <v>18</v>
      </c>
      <c r="T113" s="31">
        <f t="shared" si="30"/>
        <v>19</v>
      </c>
      <c r="U113" s="29">
        <f t="shared" si="31"/>
        <v>1.062</v>
      </c>
      <c r="V113" s="29">
        <f t="shared" si="32"/>
        <v>1.094</v>
      </c>
      <c r="W113" s="29">
        <f t="shared" si="33"/>
        <v>1.124</v>
      </c>
      <c r="X113" s="29">
        <f t="shared" si="34"/>
        <v>0.021765772213140452</v>
      </c>
      <c r="Y113" s="29">
        <f t="shared" si="35"/>
        <v>0.02116</v>
      </c>
      <c r="Z113" s="29">
        <f t="shared" si="36"/>
        <v>0.0224</v>
      </c>
      <c r="AA113" s="29">
        <f t="shared" si="37"/>
        <v>6.986500000000001</v>
      </c>
      <c r="AB113" s="73">
        <f t="shared" si="23"/>
        <v>21210</v>
      </c>
      <c r="AC113" s="73">
        <f t="shared" si="24"/>
        <v>4630</v>
      </c>
      <c r="AD113" s="73">
        <f t="shared" si="25"/>
        <v>7800</v>
      </c>
    </row>
    <row r="114" spans="2:30" ht="15">
      <c r="B114" s="5">
        <v>0.63</v>
      </c>
      <c r="C114" s="6">
        <f t="shared" si="26"/>
        <v>0.3115665</v>
      </c>
      <c r="D114" s="15">
        <v>22</v>
      </c>
      <c r="E114" s="15">
        <v>23</v>
      </c>
      <c r="F114" s="14">
        <v>0.679</v>
      </c>
      <c r="G114" s="5">
        <v>0.704</v>
      </c>
      <c r="H114" s="5">
        <v>0.728</v>
      </c>
      <c r="I114" s="7">
        <f t="shared" si="18"/>
        <v>0.05483943616311527</v>
      </c>
      <c r="J114" s="7">
        <v>0.05335</v>
      </c>
      <c r="K114" s="7">
        <v>0.05638</v>
      </c>
      <c r="L114" s="6">
        <f t="shared" si="19"/>
        <v>2.77294185</v>
      </c>
      <c r="M114" s="24">
        <v>7916</v>
      </c>
      <c r="N114" s="25">
        <v>1930</v>
      </c>
      <c r="O114" s="25">
        <v>2810</v>
      </c>
      <c r="Q114" s="29">
        <f t="shared" si="27"/>
        <v>1</v>
      </c>
      <c r="R114" s="30">
        <f t="shared" si="28"/>
        <v>0.785</v>
      </c>
      <c r="S114" s="31">
        <f t="shared" si="29"/>
        <v>18</v>
      </c>
      <c r="T114" s="31">
        <f t="shared" si="30"/>
        <v>19</v>
      </c>
      <c r="U114" s="29">
        <f t="shared" si="31"/>
        <v>1.062</v>
      </c>
      <c r="V114" s="29">
        <f t="shared" si="32"/>
        <v>1.094</v>
      </c>
      <c r="W114" s="29">
        <f t="shared" si="33"/>
        <v>1.124</v>
      </c>
      <c r="X114" s="29">
        <f t="shared" si="34"/>
        <v>0.021765772213140452</v>
      </c>
      <c r="Y114" s="29">
        <f t="shared" si="35"/>
        <v>0.02116</v>
      </c>
      <c r="Z114" s="29">
        <f t="shared" si="36"/>
        <v>0.0224</v>
      </c>
      <c r="AA114" s="29">
        <f t="shared" si="37"/>
        <v>6.986500000000001</v>
      </c>
      <c r="AB114" s="73">
        <f t="shared" si="23"/>
        <v>21210</v>
      </c>
      <c r="AC114" s="73">
        <f t="shared" si="24"/>
        <v>4630</v>
      </c>
      <c r="AD114" s="73">
        <f t="shared" si="25"/>
        <v>7800</v>
      </c>
    </row>
    <row r="115" spans="2:30" ht="15">
      <c r="B115" s="2">
        <v>0.67</v>
      </c>
      <c r="C115" s="6">
        <f t="shared" si="26"/>
        <v>0.35238650000000005</v>
      </c>
      <c r="D115" s="15" t="s">
        <v>14</v>
      </c>
      <c r="E115" s="15" t="s">
        <v>20</v>
      </c>
      <c r="F115" s="14">
        <v>0.722</v>
      </c>
      <c r="G115" s="5">
        <v>0.749</v>
      </c>
      <c r="H115" s="5">
        <v>0.774</v>
      </c>
      <c r="I115" s="7">
        <f t="shared" si="18"/>
        <v>0.04848690624446524</v>
      </c>
      <c r="J115" s="7">
        <v>0.04708</v>
      </c>
      <c r="K115" s="7">
        <v>0.04994</v>
      </c>
      <c r="L115" s="6">
        <f t="shared" si="19"/>
        <v>3.136239850000001</v>
      </c>
      <c r="M115" s="24">
        <v>9290</v>
      </c>
      <c r="N115" s="25">
        <v>2220</v>
      </c>
      <c r="O115" s="25">
        <v>3360</v>
      </c>
      <c r="Q115" s="29">
        <f t="shared" si="27"/>
        <v>1</v>
      </c>
      <c r="R115" s="30">
        <f t="shared" si="28"/>
        <v>0.785</v>
      </c>
      <c r="S115" s="31">
        <f t="shared" si="29"/>
        <v>18</v>
      </c>
      <c r="T115" s="31">
        <f t="shared" si="30"/>
        <v>19</v>
      </c>
      <c r="U115" s="29">
        <f t="shared" si="31"/>
        <v>1.062</v>
      </c>
      <c r="V115" s="29">
        <f t="shared" si="32"/>
        <v>1.094</v>
      </c>
      <c r="W115" s="29">
        <f t="shared" si="33"/>
        <v>1.124</v>
      </c>
      <c r="X115" s="29">
        <f t="shared" si="34"/>
        <v>0.021765772213140452</v>
      </c>
      <c r="Y115" s="29">
        <f t="shared" si="35"/>
        <v>0.02116</v>
      </c>
      <c r="Z115" s="29">
        <f t="shared" si="36"/>
        <v>0.0224</v>
      </c>
      <c r="AA115" s="29">
        <f t="shared" si="37"/>
        <v>6.986500000000001</v>
      </c>
      <c r="AB115" s="73">
        <f t="shared" si="23"/>
        <v>21210</v>
      </c>
      <c r="AC115" s="73">
        <f t="shared" si="24"/>
        <v>4630</v>
      </c>
      <c r="AD115" s="73">
        <f t="shared" si="25"/>
        <v>7800</v>
      </c>
    </row>
    <row r="116" spans="2:30" ht="15">
      <c r="B116" s="5">
        <v>0.71</v>
      </c>
      <c r="C116" s="6">
        <f t="shared" si="26"/>
        <v>0.3957185</v>
      </c>
      <c r="D116" s="15">
        <v>21</v>
      </c>
      <c r="E116" s="3">
        <v>22</v>
      </c>
      <c r="F116" s="14">
        <v>0.762</v>
      </c>
      <c r="G116" s="5">
        <v>0.789</v>
      </c>
      <c r="H116" s="5">
        <v>0.814</v>
      </c>
      <c r="I116" s="7">
        <f t="shared" si="18"/>
        <v>0.04317748901634686</v>
      </c>
      <c r="J116" s="7">
        <v>0.04198</v>
      </c>
      <c r="K116" s="7">
        <v>0.04442</v>
      </c>
      <c r="L116" s="6">
        <f t="shared" si="19"/>
        <v>3.5218946499999997</v>
      </c>
      <c r="M116" s="24">
        <v>10770</v>
      </c>
      <c r="N116" s="25">
        <v>2520</v>
      </c>
      <c r="O116" s="25">
        <v>3780</v>
      </c>
      <c r="Q116" s="29">
        <f t="shared" si="27"/>
        <v>1</v>
      </c>
      <c r="R116" s="30">
        <f t="shared" si="28"/>
        <v>0.785</v>
      </c>
      <c r="S116" s="31">
        <f t="shared" si="29"/>
        <v>18</v>
      </c>
      <c r="T116" s="31">
        <f t="shared" si="30"/>
        <v>19</v>
      </c>
      <c r="U116" s="29">
        <f t="shared" si="31"/>
        <v>1.062</v>
      </c>
      <c r="V116" s="29">
        <f t="shared" si="32"/>
        <v>1.094</v>
      </c>
      <c r="W116" s="29">
        <f t="shared" si="33"/>
        <v>1.124</v>
      </c>
      <c r="X116" s="29">
        <f t="shared" si="34"/>
        <v>0.021765772213140452</v>
      </c>
      <c r="Y116" s="29">
        <f t="shared" si="35"/>
        <v>0.02116</v>
      </c>
      <c r="Z116" s="29">
        <f t="shared" si="36"/>
        <v>0.0224</v>
      </c>
      <c r="AA116" s="29">
        <f t="shared" si="37"/>
        <v>6.986500000000001</v>
      </c>
      <c r="AB116" s="73">
        <f t="shared" si="23"/>
        <v>21210</v>
      </c>
      <c r="AC116" s="73">
        <f t="shared" si="24"/>
        <v>4630</v>
      </c>
      <c r="AD116" s="73">
        <f t="shared" si="25"/>
        <v>7800</v>
      </c>
    </row>
    <row r="117" spans="2:30" ht="15">
      <c r="B117" s="2">
        <v>0.75</v>
      </c>
      <c r="C117" s="6">
        <f t="shared" si="26"/>
        <v>0.44156249999999997</v>
      </c>
      <c r="D117" s="15" t="s">
        <v>14</v>
      </c>
      <c r="E117" s="3" t="s">
        <v>20</v>
      </c>
      <c r="F117" s="14">
        <v>0.805</v>
      </c>
      <c r="G117" s="5">
        <v>0.834</v>
      </c>
      <c r="H117" s="5">
        <v>0.861</v>
      </c>
      <c r="I117" s="7">
        <f t="shared" si="18"/>
        <v>0.03869470615669414</v>
      </c>
      <c r="J117" s="7">
        <v>0.03756</v>
      </c>
      <c r="K117" s="7">
        <v>0.03987</v>
      </c>
      <c r="L117" s="6">
        <f t="shared" si="19"/>
        <v>3.9299062499999997</v>
      </c>
      <c r="M117" s="24">
        <v>12370</v>
      </c>
      <c r="N117" s="25">
        <v>2830</v>
      </c>
      <c r="O117" s="25">
        <v>4400</v>
      </c>
      <c r="Q117" s="29">
        <f t="shared" si="27"/>
        <v>1</v>
      </c>
      <c r="R117" s="30">
        <f t="shared" si="28"/>
        <v>0.785</v>
      </c>
      <c r="S117" s="31">
        <f t="shared" si="29"/>
        <v>18</v>
      </c>
      <c r="T117" s="31">
        <f t="shared" si="30"/>
        <v>19</v>
      </c>
      <c r="U117" s="29">
        <f t="shared" si="31"/>
        <v>1.062</v>
      </c>
      <c r="V117" s="29">
        <f t="shared" si="32"/>
        <v>1.094</v>
      </c>
      <c r="W117" s="29">
        <f t="shared" si="33"/>
        <v>1.124</v>
      </c>
      <c r="X117" s="29">
        <f t="shared" si="34"/>
        <v>0.021765772213140452</v>
      </c>
      <c r="Y117" s="29">
        <f t="shared" si="35"/>
        <v>0.02116</v>
      </c>
      <c r="Z117" s="29">
        <f t="shared" si="36"/>
        <v>0.0224</v>
      </c>
      <c r="AA117" s="29">
        <f t="shared" si="37"/>
        <v>6.986500000000001</v>
      </c>
      <c r="AB117" s="73">
        <f t="shared" si="23"/>
        <v>21210</v>
      </c>
      <c r="AC117" s="73">
        <f t="shared" si="24"/>
        <v>4630</v>
      </c>
      <c r="AD117" s="73">
        <f t="shared" si="25"/>
        <v>7800</v>
      </c>
    </row>
    <row r="118" spans="2:30" ht="15">
      <c r="B118" s="5">
        <v>0.8</v>
      </c>
      <c r="C118" s="6">
        <f t="shared" si="26"/>
        <v>0.5024000000000001</v>
      </c>
      <c r="D118" s="15">
        <v>20</v>
      </c>
      <c r="E118" s="3">
        <v>21</v>
      </c>
      <c r="F118" s="14">
        <v>0.855</v>
      </c>
      <c r="G118" s="5">
        <v>0.884</v>
      </c>
      <c r="H118" s="5">
        <v>0.911</v>
      </c>
      <c r="I118" s="7">
        <f t="shared" si="18"/>
        <v>0.03400901908303195</v>
      </c>
      <c r="J118" s="7">
        <v>0.03305</v>
      </c>
      <c r="K118" s="7">
        <v>0.035</v>
      </c>
      <c r="L118" s="6">
        <f t="shared" si="19"/>
        <v>4.471360000000001</v>
      </c>
      <c r="M118" s="24">
        <v>13570</v>
      </c>
      <c r="N118" s="25">
        <v>3170</v>
      </c>
      <c r="O118" s="25">
        <v>5000</v>
      </c>
      <c r="Q118" s="29">
        <f t="shared" si="27"/>
        <v>1</v>
      </c>
      <c r="R118" s="30">
        <f t="shared" si="28"/>
        <v>0.785</v>
      </c>
      <c r="S118" s="31">
        <f t="shared" si="29"/>
        <v>18</v>
      </c>
      <c r="T118" s="31">
        <f t="shared" si="30"/>
        <v>19</v>
      </c>
      <c r="U118" s="29">
        <f t="shared" si="31"/>
        <v>1.062</v>
      </c>
      <c r="V118" s="29">
        <f t="shared" si="32"/>
        <v>1.094</v>
      </c>
      <c r="W118" s="29">
        <f t="shared" si="33"/>
        <v>1.124</v>
      </c>
      <c r="X118" s="29">
        <f t="shared" si="34"/>
        <v>0.021765772213140452</v>
      </c>
      <c r="Y118" s="29">
        <f t="shared" si="35"/>
        <v>0.02116</v>
      </c>
      <c r="Z118" s="29">
        <f t="shared" si="36"/>
        <v>0.0224</v>
      </c>
      <c r="AA118" s="29">
        <f t="shared" si="37"/>
        <v>6.986500000000001</v>
      </c>
      <c r="AB118" s="73">
        <f t="shared" si="23"/>
        <v>21210</v>
      </c>
      <c r="AC118" s="73">
        <f t="shared" si="24"/>
        <v>4630</v>
      </c>
      <c r="AD118" s="73">
        <f t="shared" si="25"/>
        <v>7800</v>
      </c>
    </row>
    <row r="119" spans="2:30" ht="15">
      <c r="B119" s="2">
        <v>0.85</v>
      </c>
      <c r="C119" s="6">
        <f t="shared" si="26"/>
        <v>0.5671625</v>
      </c>
      <c r="D119" s="15" t="s">
        <v>14</v>
      </c>
      <c r="E119" s="3" t="s">
        <v>20</v>
      </c>
      <c r="F119" s="14">
        <v>0.909</v>
      </c>
      <c r="G119" s="5">
        <v>0.939</v>
      </c>
      <c r="H119" s="5">
        <v>0.968</v>
      </c>
      <c r="I119" s="7">
        <f t="shared" si="18"/>
        <v>0.030125636281163253</v>
      </c>
      <c r="J119" s="7">
        <v>0.02925</v>
      </c>
      <c r="K119" s="7">
        <v>0.03104</v>
      </c>
      <c r="L119" s="6">
        <f t="shared" si="19"/>
        <v>5.04774625</v>
      </c>
      <c r="M119" s="24">
        <f>M118/2+M120/2</f>
        <v>15375</v>
      </c>
      <c r="N119" s="25">
        <v>3520</v>
      </c>
      <c r="O119" s="25">
        <v>5640</v>
      </c>
      <c r="Q119" s="29">
        <f t="shared" si="27"/>
        <v>1</v>
      </c>
      <c r="R119" s="30">
        <f t="shared" si="28"/>
        <v>0.785</v>
      </c>
      <c r="S119" s="31">
        <f t="shared" si="29"/>
        <v>18</v>
      </c>
      <c r="T119" s="31">
        <f t="shared" si="30"/>
        <v>19</v>
      </c>
      <c r="U119" s="29">
        <f t="shared" si="31"/>
        <v>1.062</v>
      </c>
      <c r="V119" s="29">
        <f t="shared" si="32"/>
        <v>1.094</v>
      </c>
      <c r="W119" s="29">
        <f t="shared" si="33"/>
        <v>1.124</v>
      </c>
      <c r="X119" s="29">
        <f t="shared" si="34"/>
        <v>0.021765772213140452</v>
      </c>
      <c r="Y119" s="29">
        <f t="shared" si="35"/>
        <v>0.02116</v>
      </c>
      <c r="Z119" s="29">
        <f t="shared" si="36"/>
        <v>0.0224</v>
      </c>
      <c r="AA119" s="29">
        <f t="shared" si="37"/>
        <v>6.986500000000001</v>
      </c>
      <c r="AB119" s="73">
        <f t="shared" si="23"/>
        <v>21210</v>
      </c>
      <c r="AC119" s="73">
        <f t="shared" si="24"/>
        <v>4630</v>
      </c>
      <c r="AD119" s="73">
        <f t="shared" si="25"/>
        <v>7800</v>
      </c>
    </row>
    <row r="120" spans="2:30" ht="15">
      <c r="B120" s="5">
        <v>0.9</v>
      </c>
      <c r="C120" s="6">
        <f t="shared" si="26"/>
        <v>0.63585</v>
      </c>
      <c r="D120" s="15">
        <v>19</v>
      </c>
      <c r="E120" s="3">
        <v>20</v>
      </c>
      <c r="F120" s="14">
        <v>0.959</v>
      </c>
      <c r="G120" s="5">
        <v>0.989</v>
      </c>
      <c r="H120" s="5">
        <v>1.018</v>
      </c>
      <c r="I120" s="7">
        <f t="shared" si="18"/>
        <v>0.026871323719926482</v>
      </c>
      <c r="J120" s="7">
        <v>0.02612</v>
      </c>
      <c r="K120" s="7">
        <v>0.02765</v>
      </c>
      <c r="L120" s="6">
        <f t="shared" si="19"/>
        <v>5.659065000000001</v>
      </c>
      <c r="M120" s="24">
        <v>17180</v>
      </c>
      <c r="N120" s="25">
        <v>3880</v>
      </c>
      <c r="O120" s="25">
        <v>6320</v>
      </c>
      <c r="Q120" s="29">
        <f t="shared" si="27"/>
        <v>1</v>
      </c>
      <c r="R120" s="30">
        <f t="shared" si="28"/>
        <v>0.785</v>
      </c>
      <c r="S120" s="31">
        <f t="shared" si="29"/>
        <v>18</v>
      </c>
      <c r="T120" s="31">
        <f t="shared" si="30"/>
        <v>19</v>
      </c>
      <c r="U120" s="29">
        <f t="shared" si="31"/>
        <v>1.062</v>
      </c>
      <c r="V120" s="29">
        <f t="shared" si="32"/>
        <v>1.094</v>
      </c>
      <c r="W120" s="29">
        <f t="shared" si="33"/>
        <v>1.124</v>
      </c>
      <c r="X120" s="29">
        <f t="shared" si="34"/>
        <v>0.021765772213140452</v>
      </c>
      <c r="Y120" s="29">
        <f t="shared" si="35"/>
        <v>0.02116</v>
      </c>
      <c r="Z120" s="29">
        <f t="shared" si="36"/>
        <v>0.0224</v>
      </c>
      <c r="AA120" s="29">
        <f t="shared" si="37"/>
        <v>6.986500000000001</v>
      </c>
      <c r="AB120" s="73">
        <f t="shared" si="23"/>
        <v>21210</v>
      </c>
      <c r="AC120" s="73">
        <f t="shared" si="24"/>
        <v>4630</v>
      </c>
      <c r="AD120" s="73">
        <f t="shared" si="25"/>
        <v>7800</v>
      </c>
    </row>
    <row r="121" spans="2:30" ht="15">
      <c r="B121" s="2">
        <v>0.95</v>
      </c>
      <c r="C121" s="6">
        <f t="shared" si="26"/>
        <v>0.7084625</v>
      </c>
      <c r="D121" s="15" t="s">
        <v>14</v>
      </c>
      <c r="E121" s="3" t="s">
        <v>20</v>
      </c>
      <c r="F121" s="14">
        <v>1.012</v>
      </c>
      <c r="G121" s="5">
        <v>1.044</v>
      </c>
      <c r="H121" s="5">
        <v>1.074</v>
      </c>
      <c r="I121" s="7">
        <f t="shared" si="18"/>
        <v>0.024117199128133465</v>
      </c>
      <c r="J121" s="7">
        <v>0.02342</v>
      </c>
      <c r="K121" s="7">
        <v>0.02484</v>
      </c>
      <c r="L121" s="6">
        <f t="shared" si="19"/>
        <v>6.30531625</v>
      </c>
      <c r="M121" s="24">
        <v>17180</v>
      </c>
      <c r="N121" s="25">
        <v>3880</v>
      </c>
      <c r="O121" s="25">
        <v>6320</v>
      </c>
      <c r="Q121" s="29">
        <f t="shared" si="27"/>
        <v>1</v>
      </c>
      <c r="R121" s="30">
        <f t="shared" si="28"/>
        <v>0.785</v>
      </c>
      <c r="S121" s="31">
        <f t="shared" si="29"/>
        <v>18</v>
      </c>
      <c r="T121" s="31">
        <f t="shared" si="30"/>
        <v>19</v>
      </c>
      <c r="U121" s="29">
        <f t="shared" si="31"/>
        <v>1.062</v>
      </c>
      <c r="V121" s="29">
        <f t="shared" si="32"/>
        <v>1.094</v>
      </c>
      <c r="W121" s="29">
        <f t="shared" si="33"/>
        <v>1.124</v>
      </c>
      <c r="X121" s="29">
        <f t="shared" si="34"/>
        <v>0.021765772213140452</v>
      </c>
      <c r="Y121" s="29">
        <f t="shared" si="35"/>
        <v>0.02116</v>
      </c>
      <c r="Z121" s="29">
        <f t="shared" si="36"/>
        <v>0.0224</v>
      </c>
      <c r="AA121" s="29">
        <f t="shared" si="37"/>
        <v>6.986500000000001</v>
      </c>
      <c r="AB121" s="73">
        <f t="shared" si="23"/>
        <v>21210</v>
      </c>
      <c r="AC121" s="73">
        <f t="shared" si="24"/>
        <v>4630</v>
      </c>
      <c r="AD121" s="73">
        <f t="shared" si="25"/>
        <v>7800</v>
      </c>
    </row>
    <row r="122" spans="2:30" ht="15">
      <c r="B122" s="5">
        <v>1</v>
      </c>
      <c r="C122" s="6">
        <f t="shared" si="26"/>
        <v>0.785</v>
      </c>
      <c r="D122" s="15">
        <v>18</v>
      </c>
      <c r="E122" s="3">
        <v>19</v>
      </c>
      <c r="F122" s="14">
        <v>1.062</v>
      </c>
      <c r="G122" s="5">
        <v>1.094</v>
      </c>
      <c r="H122" s="5">
        <v>1.124</v>
      </c>
      <c r="I122" s="7">
        <f t="shared" si="18"/>
        <v>0.021765772213140452</v>
      </c>
      <c r="J122" s="7">
        <v>0.02116</v>
      </c>
      <c r="K122" s="7">
        <v>0.0224</v>
      </c>
      <c r="L122" s="6">
        <f t="shared" si="19"/>
        <v>6.986500000000001</v>
      </c>
      <c r="M122" s="24">
        <v>21210</v>
      </c>
      <c r="N122" s="25">
        <v>4630</v>
      </c>
      <c r="O122" s="25">
        <v>7800</v>
      </c>
      <c r="Q122" s="29">
        <f t="shared" si="27"/>
        <v>1</v>
      </c>
      <c r="R122" s="30">
        <f t="shared" si="28"/>
        <v>0.785</v>
      </c>
      <c r="S122" s="31">
        <f t="shared" si="29"/>
        <v>18</v>
      </c>
      <c r="T122" s="31">
        <f t="shared" si="30"/>
        <v>19</v>
      </c>
      <c r="U122" s="29">
        <f t="shared" si="31"/>
        <v>1.062</v>
      </c>
      <c r="V122" s="29">
        <f t="shared" si="32"/>
        <v>1.094</v>
      </c>
      <c r="W122" s="29">
        <f t="shared" si="33"/>
        <v>1.124</v>
      </c>
      <c r="X122" s="29">
        <f t="shared" si="34"/>
        <v>0.021765772213140452</v>
      </c>
      <c r="Y122" s="29">
        <f t="shared" si="35"/>
        <v>0.02116</v>
      </c>
      <c r="Z122" s="29">
        <f t="shared" si="36"/>
        <v>0.0224</v>
      </c>
      <c r="AA122" s="29">
        <f t="shared" si="37"/>
        <v>6.986500000000001</v>
      </c>
      <c r="AB122" s="73">
        <f t="shared" si="23"/>
        <v>21210</v>
      </c>
      <c r="AC122" s="73">
        <f t="shared" si="24"/>
        <v>4630</v>
      </c>
      <c r="AD122" s="73">
        <f t="shared" si="25"/>
        <v>7800</v>
      </c>
    </row>
    <row r="123" spans="2:30" ht="15">
      <c r="B123" s="2">
        <v>1.06</v>
      </c>
      <c r="C123" s="6">
        <f t="shared" si="26"/>
        <v>0.8820260000000001</v>
      </c>
      <c r="D123" s="15" t="s">
        <v>14</v>
      </c>
      <c r="E123" s="3" t="s">
        <v>20</v>
      </c>
      <c r="F123" s="14">
        <v>1.124</v>
      </c>
      <c r="G123" s="5">
        <v>1.157</v>
      </c>
      <c r="H123" s="5">
        <v>1.188</v>
      </c>
      <c r="I123" s="7">
        <f t="shared" si="18"/>
        <v>0.019371459783855866</v>
      </c>
      <c r="J123" s="8">
        <f>1/59/C123</f>
        <v>0.019216159775758173</v>
      </c>
      <c r="K123" s="8">
        <f>1/58/C123</f>
        <v>0.019547472875340213</v>
      </c>
      <c r="L123" s="6">
        <f t="shared" si="19"/>
        <v>7.8500314000000015</v>
      </c>
      <c r="M123" s="24">
        <v>21210</v>
      </c>
      <c r="N123" s="25">
        <v>4630</v>
      </c>
      <c r="O123" s="25">
        <v>7800</v>
      </c>
      <c r="Q123" s="29">
        <f t="shared" si="27"/>
        <v>0</v>
      </c>
      <c r="R123" s="30">
        <f t="shared" si="28"/>
        <v>0</v>
      </c>
      <c r="S123" s="31">
        <f t="shared" si="29"/>
        <v>0</v>
      </c>
      <c r="T123" s="31">
        <f t="shared" si="30"/>
        <v>0</v>
      </c>
      <c r="U123" s="29">
        <f t="shared" si="31"/>
        <v>0</v>
      </c>
      <c r="V123" s="29">
        <f t="shared" si="32"/>
        <v>0</v>
      </c>
      <c r="W123" s="29">
        <f t="shared" si="33"/>
        <v>0</v>
      </c>
      <c r="X123" s="29">
        <f t="shared" si="34"/>
        <v>0</v>
      </c>
      <c r="Y123" s="29">
        <f t="shared" si="35"/>
        <v>0</v>
      </c>
      <c r="Z123" s="29">
        <f t="shared" si="36"/>
        <v>0</v>
      </c>
      <c r="AA123" s="29">
        <f t="shared" si="37"/>
        <v>0</v>
      </c>
      <c r="AB123" s="73">
        <f t="shared" si="23"/>
        <v>0</v>
      </c>
      <c r="AC123" s="73">
        <f t="shared" si="24"/>
        <v>0</v>
      </c>
      <c r="AD123" s="73">
        <f t="shared" si="25"/>
        <v>0</v>
      </c>
    </row>
    <row r="124" spans="2:30" ht="15">
      <c r="B124" s="5">
        <v>1.12</v>
      </c>
      <c r="C124" s="6">
        <f t="shared" si="26"/>
        <v>0.9847040000000002</v>
      </c>
      <c r="D124" s="15">
        <v>17</v>
      </c>
      <c r="E124" s="3">
        <v>18</v>
      </c>
      <c r="F124" s="14">
        <v>1.184</v>
      </c>
      <c r="G124" s="5">
        <v>1.217</v>
      </c>
      <c r="H124" s="5">
        <v>1.248</v>
      </c>
      <c r="I124" s="7">
        <f t="shared" si="18"/>
        <v>0.017351540348485687</v>
      </c>
      <c r="J124" s="8">
        <f aca="true" t="shared" si="38" ref="J124:J151">1/59/C124</f>
        <v>0.017212433931793593</v>
      </c>
      <c r="K124" s="8">
        <f aca="true" t="shared" si="39" ref="K124:K151">1/58/C124</f>
        <v>0.017509200034065895</v>
      </c>
      <c r="L124" s="6">
        <f t="shared" si="19"/>
        <v>8.763865600000003</v>
      </c>
      <c r="M124" s="24">
        <v>25660</v>
      </c>
      <c r="N124" s="25">
        <v>5440</v>
      </c>
      <c r="O124" s="25">
        <v>9440</v>
      </c>
      <c r="Q124" s="29">
        <f t="shared" si="27"/>
        <v>0</v>
      </c>
      <c r="R124" s="30">
        <f t="shared" si="28"/>
        <v>0</v>
      </c>
      <c r="S124" s="31">
        <f t="shared" si="29"/>
        <v>0</v>
      </c>
      <c r="T124" s="31">
        <f t="shared" si="30"/>
        <v>0</v>
      </c>
      <c r="U124" s="29">
        <f t="shared" si="31"/>
        <v>0</v>
      </c>
      <c r="V124" s="29">
        <f t="shared" si="32"/>
        <v>0</v>
      </c>
      <c r="W124" s="29">
        <f t="shared" si="33"/>
        <v>0</v>
      </c>
      <c r="X124" s="29">
        <f t="shared" si="34"/>
        <v>0</v>
      </c>
      <c r="Y124" s="29">
        <f t="shared" si="35"/>
        <v>0</v>
      </c>
      <c r="Z124" s="29">
        <f t="shared" si="36"/>
        <v>0</v>
      </c>
      <c r="AA124" s="29">
        <f t="shared" si="37"/>
        <v>0</v>
      </c>
      <c r="AB124" s="73">
        <f t="shared" si="23"/>
        <v>0</v>
      </c>
      <c r="AC124" s="73">
        <f t="shared" si="24"/>
        <v>0</v>
      </c>
      <c r="AD124" s="73">
        <f t="shared" si="25"/>
        <v>0</v>
      </c>
    </row>
    <row r="125" spans="2:30" ht="15">
      <c r="B125" s="2">
        <v>1.18</v>
      </c>
      <c r="C125" s="5">
        <f t="shared" si="26"/>
        <v>1.093034</v>
      </c>
      <c r="D125" s="15" t="s">
        <v>14</v>
      </c>
      <c r="E125" s="3" t="s">
        <v>20</v>
      </c>
      <c r="F125" s="14">
        <v>1.246</v>
      </c>
      <c r="G125" s="5">
        <v>1.279</v>
      </c>
      <c r="H125" s="5">
        <v>1.311</v>
      </c>
      <c r="I125" s="7">
        <f t="shared" si="18"/>
        <v>0.015631838705214344</v>
      </c>
      <c r="J125" s="8">
        <f t="shared" si="38"/>
        <v>0.015506519049153896</v>
      </c>
      <c r="K125" s="8">
        <f t="shared" si="39"/>
        <v>0.015773872825863445</v>
      </c>
      <c r="L125" s="6">
        <f t="shared" si="19"/>
        <v>9.728002600000002</v>
      </c>
      <c r="M125" s="24">
        <v>25660</v>
      </c>
      <c r="N125" s="25">
        <v>5440</v>
      </c>
      <c r="O125" s="25">
        <v>9440</v>
      </c>
      <c r="Q125" s="29">
        <f t="shared" si="27"/>
        <v>0</v>
      </c>
      <c r="R125" s="30">
        <f t="shared" si="28"/>
        <v>0</v>
      </c>
      <c r="S125" s="31">
        <f t="shared" si="29"/>
        <v>0</v>
      </c>
      <c r="T125" s="31">
        <f t="shared" si="30"/>
        <v>0</v>
      </c>
      <c r="U125" s="29">
        <f t="shared" si="31"/>
        <v>0</v>
      </c>
      <c r="V125" s="29">
        <f t="shared" si="32"/>
        <v>0</v>
      </c>
      <c r="W125" s="29">
        <f t="shared" si="33"/>
        <v>0</v>
      </c>
      <c r="X125" s="29">
        <f t="shared" si="34"/>
        <v>0</v>
      </c>
      <c r="Y125" s="29">
        <f t="shared" si="35"/>
        <v>0</v>
      </c>
      <c r="Z125" s="29">
        <f t="shared" si="36"/>
        <v>0</v>
      </c>
      <c r="AA125" s="29">
        <f t="shared" si="37"/>
        <v>0</v>
      </c>
      <c r="AB125" s="73">
        <f t="shared" si="23"/>
        <v>0</v>
      </c>
      <c r="AC125" s="73">
        <f t="shared" si="24"/>
        <v>0</v>
      </c>
      <c r="AD125" s="73">
        <f t="shared" si="25"/>
        <v>0</v>
      </c>
    </row>
    <row r="126" spans="2:30" ht="15">
      <c r="B126" s="5">
        <v>1.25</v>
      </c>
      <c r="C126" s="5">
        <f t="shared" si="26"/>
        <v>1.2265625</v>
      </c>
      <c r="D126" s="15">
        <v>16</v>
      </c>
      <c r="E126" s="3" t="s">
        <v>20</v>
      </c>
      <c r="F126" s="14">
        <v>1.316</v>
      </c>
      <c r="G126" s="5">
        <v>1.349</v>
      </c>
      <c r="H126" s="5">
        <v>1.381</v>
      </c>
      <c r="I126" s="7">
        <f t="shared" si="18"/>
        <v>0.013930094216409889</v>
      </c>
      <c r="J126" s="8">
        <f t="shared" si="38"/>
        <v>0.013818417359386808</v>
      </c>
      <c r="K126" s="8">
        <f t="shared" si="39"/>
        <v>0.01405666593454865</v>
      </c>
      <c r="L126" s="5">
        <f t="shared" si="19"/>
        <v>10.91640625</v>
      </c>
      <c r="M126" s="24">
        <v>30540</v>
      </c>
      <c r="N126" s="25">
        <v>6340</v>
      </c>
      <c r="O126" s="25">
        <v>11230</v>
      </c>
      <c r="Q126" s="29">
        <f t="shared" si="27"/>
        <v>0</v>
      </c>
      <c r="R126" s="30">
        <f t="shared" si="28"/>
        <v>0</v>
      </c>
      <c r="S126" s="31">
        <f t="shared" si="29"/>
        <v>0</v>
      </c>
      <c r="T126" s="31">
        <f t="shared" si="30"/>
        <v>0</v>
      </c>
      <c r="U126" s="29">
        <f t="shared" si="31"/>
        <v>0</v>
      </c>
      <c r="V126" s="29">
        <f t="shared" si="32"/>
        <v>0</v>
      </c>
      <c r="W126" s="29">
        <f t="shared" si="33"/>
        <v>0</v>
      </c>
      <c r="X126" s="29">
        <f t="shared" si="34"/>
        <v>0</v>
      </c>
      <c r="Y126" s="29">
        <f t="shared" si="35"/>
        <v>0</v>
      </c>
      <c r="Z126" s="29">
        <f t="shared" si="36"/>
        <v>0</v>
      </c>
      <c r="AA126" s="29">
        <f t="shared" si="37"/>
        <v>0</v>
      </c>
      <c r="AB126" s="73">
        <f t="shared" si="23"/>
        <v>0</v>
      </c>
      <c r="AC126" s="73">
        <f t="shared" si="24"/>
        <v>0</v>
      </c>
      <c r="AD126" s="73">
        <f t="shared" si="25"/>
        <v>0</v>
      </c>
    </row>
    <row r="127" spans="2:30" ht="15">
      <c r="B127" s="2">
        <v>1.32</v>
      </c>
      <c r="C127" s="5">
        <f t="shared" si="26"/>
        <v>1.367784</v>
      </c>
      <c r="D127" s="15" t="s">
        <v>14</v>
      </c>
      <c r="E127" s="3" t="s">
        <v>20</v>
      </c>
      <c r="F127" s="14">
        <v>1.388</v>
      </c>
      <c r="G127" s="5">
        <v>1.422</v>
      </c>
      <c r="H127" s="5">
        <v>1.455</v>
      </c>
      <c r="I127" s="7">
        <f t="shared" si="18"/>
        <v>0.012491834373932765</v>
      </c>
      <c r="J127" s="8">
        <f t="shared" si="38"/>
        <v>0.012391687972934965</v>
      </c>
      <c r="K127" s="8">
        <f t="shared" si="39"/>
        <v>0.012605337765571776</v>
      </c>
      <c r="L127" s="5">
        <f t="shared" si="19"/>
        <v>12.1732776</v>
      </c>
      <c r="M127" s="24">
        <v>35830</v>
      </c>
      <c r="N127" s="25">
        <v>7810</v>
      </c>
      <c r="O127" s="25">
        <v>13180</v>
      </c>
      <c r="Q127" s="29">
        <f t="shared" si="27"/>
        <v>0</v>
      </c>
      <c r="R127" s="30">
        <f t="shared" si="28"/>
        <v>0</v>
      </c>
      <c r="S127" s="31">
        <f t="shared" si="29"/>
        <v>0</v>
      </c>
      <c r="T127" s="31">
        <f t="shared" si="30"/>
        <v>0</v>
      </c>
      <c r="U127" s="29">
        <f t="shared" si="31"/>
        <v>0</v>
      </c>
      <c r="V127" s="29">
        <f t="shared" si="32"/>
        <v>0</v>
      </c>
      <c r="W127" s="29">
        <f t="shared" si="33"/>
        <v>0</v>
      </c>
      <c r="X127" s="29">
        <f t="shared" si="34"/>
        <v>0</v>
      </c>
      <c r="Y127" s="29">
        <f t="shared" si="35"/>
        <v>0</v>
      </c>
      <c r="Z127" s="29">
        <f t="shared" si="36"/>
        <v>0</v>
      </c>
      <c r="AA127" s="29">
        <f t="shared" si="37"/>
        <v>0</v>
      </c>
      <c r="AB127" s="73">
        <f t="shared" si="23"/>
        <v>0</v>
      </c>
      <c r="AC127" s="73">
        <f t="shared" si="24"/>
        <v>0</v>
      </c>
      <c r="AD127" s="73">
        <f t="shared" si="25"/>
        <v>0</v>
      </c>
    </row>
    <row r="128" spans="2:30" ht="15">
      <c r="B128" s="5">
        <v>1.4</v>
      </c>
      <c r="C128" s="5">
        <f t="shared" si="26"/>
        <v>1.5386</v>
      </c>
      <c r="D128" s="15">
        <v>15</v>
      </c>
      <c r="E128" s="3">
        <v>17</v>
      </c>
      <c r="F128" s="14">
        <v>1.468</v>
      </c>
      <c r="G128" s="5">
        <v>1.502</v>
      </c>
      <c r="H128" s="5">
        <v>1.535</v>
      </c>
      <c r="I128" s="7">
        <f t="shared" si="18"/>
        <v>0.011104985823030843</v>
      </c>
      <c r="J128" s="8">
        <f t="shared" si="38"/>
        <v>0.011015957716347901</v>
      </c>
      <c r="K128" s="8">
        <f t="shared" si="39"/>
        <v>0.011205888021802175</v>
      </c>
      <c r="L128" s="5">
        <f t="shared" si="19"/>
        <v>13.69354</v>
      </c>
      <c r="M128" s="24">
        <v>41550</v>
      </c>
      <c r="N128" s="25">
        <v>8220</v>
      </c>
      <c r="O128" s="25">
        <v>15200</v>
      </c>
      <c r="Q128" s="29">
        <f t="shared" si="27"/>
        <v>0</v>
      </c>
      <c r="R128" s="30">
        <f t="shared" si="28"/>
        <v>0</v>
      </c>
      <c r="S128" s="31">
        <f t="shared" si="29"/>
        <v>0</v>
      </c>
      <c r="T128" s="31">
        <f t="shared" si="30"/>
        <v>0</v>
      </c>
      <c r="U128" s="29">
        <f t="shared" si="31"/>
        <v>0</v>
      </c>
      <c r="V128" s="29">
        <f t="shared" si="32"/>
        <v>0</v>
      </c>
      <c r="W128" s="29">
        <f t="shared" si="33"/>
        <v>0</v>
      </c>
      <c r="X128" s="29">
        <f t="shared" si="34"/>
        <v>0</v>
      </c>
      <c r="Y128" s="29">
        <f t="shared" si="35"/>
        <v>0</v>
      </c>
      <c r="Z128" s="29">
        <f t="shared" si="36"/>
        <v>0</v>
      </c>
      <c r="AA128" s="29">
        <f t="shared" si="37"/>
        <v>0</v>
      </c>
      <c r="AB128" s="73">
        <f t="shared" si="23"/>
        <v>0</v>
      </c>
      <c r="AC128" s="73">
        <f t="shared" si="24"/>
        <v>0</v>
      </c>
      <c r="AD128" s="73">
        <f t="shared" si="25"/>
        <v>0</v>
      </c>
    </row>
    <row r="129" spans="2:30" ht="15">
      <c r="B129" s="2">
        <v>1.5</v>
      </c>
      <c r="C129" s="5">
        <f t="shared" si="26"/>
        <v>1.7662499999999999</v>
      </c>
      <c r="D129" s="15" t="s">
        <v>14</v>
      </c>
      <c r="E129" s="3" t="s">
        <v>20</v>
      </c>
      <c r="F129" s="14">
        <v>1.57</v>
      </c>
      <c r="G129" s="5">
        <v>1.606</v>
      </c>
      <c r="H129" s="5">
        <v>1.64</v>
      </c>
      <c r="I129" s="9">
        <f t="shared" si="18"/>
        <v>0.009673676539173535</v>
      </c>
      <c r="J129" s="8">
        <f t="shared" si="38"/>
        <v>0.009596123166240839</v>
      </c>
      <c r="K129" s="8">
        <f t="shared" si="39"/>
        <v>0.009761573565658785</v>
      </c>
      <c r="L129" s="5">
        <f t="shared" si="19"/>
        <v>15.719624999999999</v>
      </c>
      <c r="M129" s="24">
        <v>47710</v>
      </c>
      <c r="N129" s="25">
        <v>9200</v>
      </c>
      <c r="O129" s="25">
        <v>17550</v>
      </c>
      <c r="Q129" s="29">
        <f t="shared" si="27"/>
        <v>0</v>
      </c>
      <c r="R129" s="30">
        <f t="shared" si="28"/>
        <v>0</v>
      </c>
      <c r="S129" s="31">
        <f t="shared" si="29"/>
        <v>0</v>
      </c>
      <c r="T129" s="31">
        <f t="shared" si="30"/>
        <v>0</v>
      </c>
      <c r="U129" s="29">
        <f t="shared" si="31"/>
        <v>0</v>
      </c>
      <c r="V129" s="29">
        <f t="shared" si="32"/>
        <v>0</v>
      </c>
      <c r="W129" s="29">
        <f t="shared" si="33"/>
        <v>0</v>
      </c>
      <c r="X129" s="29">
        <f t="shared" si="34"/>
        <v>0</v>
      </c>
      <c r="Y129" s="29">
        <f t="shared" si="35"/>
        <v>0</v>
      </c>
      <c r="Z129" s="29">
        <f t="shared" si="36"/>
        <v>0</v>
      </c>
      <c r="AA129" s="29">
        <f t="shared" si="37"/>
        <v>0</v>
      </c>
      <c r="AB129" s="73">
        <f t="shared" si="23"/>
        <v>0</v>
      </c>
      <c r="AC129" s="73">
        <f t="shared" si="24"/>
        <v>0</v>
      </c>
      <c r="AD129" s="73">
        <f t="shared" si="25"/>
        <v>0</v>
      </c>
    </row>
    <row r="130" spans="2:30" ht="15">
      <c r="B130" s="5">
        <v>1.6</v>
      </c>
      <c r="C130" s="5">
        <f t="shared" si="26"/>
        <v>2.0096000000000003</v>
      </c>
      <c r="D130" s="15">
        <v>14</v>
      </c>
      <c r="E130" s="3">
        <v>16</v>
      </c>
      <c r="F130" s="14">
        <v>1.67</v>
      </c>
      <c r="G130" s="5">
        <v>1.706</v>
      </c>
      <c r="H130" s="5">
        <v>1.74</v>
      </c>
      <c r="I130" s="9">
        <f t="shared" si="18"/>
        <v>0.008502254770757988</v>
      </c>
      <c r="J130" s="8">
        <f t="shared" si="38"/>
        <v>0.00843409262657886</v>
      </c>
      <c r="K130" s="8">
        <f t="shared" si="39"/>
        <v>0.00857950801669229</v>
      </c>
      <c r="L130" s="5">
        <f t="shared" si="19"/>
        <v>17.885440000000003</v>
      </c>
      <c r="M130" s="24">
        <v>54300</v>
      </c>
      <c r="N130" s="25">
        <v>10700</v>
      </c>
      <c r="O130" s="25">
        <v>19970</v>
      </c>
      <c r="Q130" s="29">
        <f t="shared" si="27"/>
        <v>0</v>
      </c>
      <c r="R130" s="30">
        <f t="shared" si="28"/>
        <v>0</v>
      </c>
      <c r="S130" s="31">
        <f t="shared" si="29"/>
        <v>0</v>
      </c>
      <c r="T130" s="31">
        <f t="shared" si="30"/>
        <v>0</v>
      </c>
      <c r="U130" s="29">
        <f t="shared" si="31"/>
        <v>0</v>
      </c>
      <c r="V130" s="29">
        <f t="shared" si="32"/>
        <v>0</v>
      </c>
      <c r="W130" s="29">
        <f t="shared" si="33"/>
        <v>0</v>
      </c>
      <c r="X130" s="29">
        <f t="shared" si="34"/>
        <v>0</v>
      </c>
      <c r="Y130" s="29">
        <f t="shared" si="35"/>
        <v>0</v>
      </c>
      <c r="Z130" s="29">
        <f t="shared" si="36"/>
        <v>0</v>
      </c>
      <c r="AA130" s="29">
        <f t="shared" si="37"/>
        <v>0</v>
      </c>
      <c r="AB130" s="73">
        <f t="shared" si="23"/>
        <v>0</v>
      </c>
      <c r="AC130" s="73">
        <f t="shared" si="24"/>
        <v>0</v>
      </c>
      <c r="AD130" s="73">
        <f t="shared" si="25"/>
        <v>0</v>
      </c>
    </row>
    <row r="131" spans="2:30" ht="15">
      <c r="B131" s="2">
        <v>1.7</v>
      </c>
      <c r="C131" s="5">
        <f t="shared" si="26"/>
        <v>2.26865</v>
      </c>
      <c r="D131" s="15" t="s">
        <v>14</v>
      </c>
      <c r="E131" s="3" t="s">
        <v>20</v>
      </c>
      <c r="F131" s="14">
        <v>1.772</v>
      </c>
      <c r="G131" s="5">
        <v>1.809</v>
      </c>
      <c r="H131" s="5">
        <v>1.844</v>
      </c>
      <c r="I131" s="9">
        <f t="shared" si="18"/>
        <v>0.007531409070290813</v>
      </c>
      <c r="J131" s="8">
        <f t="shared" si="38"/>
        <v>0.007471030146727296</v>
      </c>
      <c r="K131" s="8">
        <f t="shared" si="39"/>
        <v>0.007599841011326043</v>
      </c>
      <c r="L131" s="5">
        <f t="shared" si="19"/>
        <v>20.190985</v>
      </c>
      <c r="M131" s="24">
        <v>61290</v>
      </c>
      <c r="N131" s="25">
        <v>11200</v>
      </c>
      <c r="O131" s="25">
        <v>22630</v>
      </c>
      <c r="Q131" s="29">
        <f t="shared" si="27"/>
        <v>0</v>
      </c>
      <c r="R131" s="30">
        <f t="shared" si="28"/>
        <v>0</v>
      </c>
      <c r="S131" s="31">
        <f t="shared" si="29"/>
        <v>0</v>
      </c>
      <c r="T131" s="31">
        <f t="shared" si="30"/>
        <v>0</v>
      </c>
      <c r="U131" s="29">
        <f t="shared" si="31"/>
        <v>0</v>
      </c>
      <c r="V131" s="29">
        <f t="shared" si="32"/>
        <v>0</v>
      </c>
      <c r="W131" s="29">
        <f t="shared" si="33"/>
        <v>0</v>
      </c>
      <c r="X131" s="29">
        <f t="shared" si="34"/>
        <v>0</v>
      </c>
      <c r="Y131" s="29">
        <f t="shared" si="35"/>
        <v>0</v>
      </c>
      <c r="Z131" s="29">
        <f t="shared" si="36"/>
        <v>0</v>
      </c>
      <c r="AA131" s="29">
        <f t="shared" si="37"/>
        <v>0</v>
      </c>
      <c r="AB131" s="73">
        <f t="shared" si="23"/>
        <v>0</v>
      </c>
      <c r="AC131" s="73">
        <f t="shared" si="24"/>
        <v>0</v>
      </c>
      <c r="AD131" s="73">
        <f t="shared" si="25"/>
        <v>0</v>
      </c>
    </row>
    <row r="132" spans="2:30" ht="15">
      <c r="B132" s="5">
        <v>1.8</v>
      </c>
      <c r="C132" s="5">
        <f t="shared" si="26"/>
        <v>2.5434</v>
      </c>
      <c r="D132" s="15">
        <v>13</v>
      </c>
      <c r="E132" s="3">
        <v>15</v>
      </c>
      <c r="F132" s="14">
        <v>1.872</v>
      </c>
      <c r="G132" s="5">
        <v>1.909</v>
      </c>
      <c r="H132" s="5">
        <v>1.944</v>
      </c>
      <c r="I132" s="9">
        <f t="shared" si="18"/>
        <v>0.0067178309299816205</v>
      </c>
      <c r="J132" s="8">
        <f t="shared" si="38"/>
        <v>0.006663974421000582</v>
      </c>
      <c r="K132" s="8">
        <f t="shared" si="39"/>
        <v>0.006778870531707489</v>
      </c>
      <c r="L132" s="5">
        <f t="shared" si="19"/>
        <v>22.636260000000004</v>
      </c>
      <c r="M132" s="24">
        <v>68720</v>
      </c>
      <c r="N132" s="25">
        <v>12350</v>
      </c>
      <c r="O132" s="25">
        <v>25270</v>
      </c>
      <c r="Q132" s="29">
        <f aca="true" t="shared" si="40" ref="Q132:Q151">IF($B$7=B132,B132,Q133)</f>
        <v>0</v>
      </c>
      <c r="R132" s="30">
        <f aca="true" t="shared" si="41" ref="R132:R151">IF(Q132=B132,C132,R133)</f>
        <v>0</v>
      </c>
      <c r="S132" s="31">
        <f aca="true" t="shared" si="42" ref="S132:S151">IF(Q132=B132,D132,S133)</f>
        <v>0</v>
      </c>
      <c r="T132" s="31">
        <f aca="true" t="shared" si="43" ref="T132:T151">IF(Q132=B132,E132,T133)</f>
        <v>0</v>
      </c>
      <c r="U132" s="29">
        <f aca="true" t="shared" si="44" ref="U132:U151">IF(Q132=B132,F132,U133)</f>
        <v>0</v>
      </c>
      <c r="V132" s="29">
        <f aca="true" t="shared" si="45" ref="V132:V151">IF(Q132=B132,G132,V133)</f>
        <v>0</v>
      </c>
      <c r="W132" s="29">
        <f aca="true" t="shared" si="46" ref="W132:W151">IF(Q132=B132,H132,W133)</f>
        <v>0</v>
      </c>
      <c r="X132" s="29">
        <f aca="true" t="shared" si="47" ref="X132:X151">IF(Q132=B132,I132,X133)</f>
        <v>0</v>
      </c>
      <c r="Y132" s="29">
        <f aca="true" t="shared" si="48" ref="Y132:Y151">IF(Q132=B132,J132,Y133)</f>
        <v>0</v>
      </c>
      <c r="Z132" s="29">
        <f aca="true" t="shared" si="49" ref="Z132:Z151">IF(Q132=B132,K132,Z133)</f>
        <v>0</v>
      </c>
      <c r="AA132" s="29">
        <f aca="true" t="shared" si="50" ref="AA132:AA151">IF(Q132=B132,L132,AA133)</f>
        <v>0</v>
      </c>
      <c r="AB132" s="73">
        <f t="shared" si="23"/>
        <v>0</v>
      </c>
      <c r="AC132" s="73">
        <f t="shared" si="24"/>
        <v>0</v>
      </c>
      <c r="AD132" s="73">
        <f t="shared" si="25"/>
        <v>0</v>
      </c>
    </row>
    <row r="133" spans="2:30" ht="15">
      <c r="B133" s="2">
        <v>1.9</v>
      </c>
      <c r="C133" s="5">
        <f t="shared" si="26"/>
        <v>2.83385</v>
      </c>
      <c r="D133" s="15" t="s">
        <v>14</v>
      </c>
      <c r="E133" s="3" t="s">
        <v>20</v>
      </c>
      <c r="F133" s="14">
        <v>1.974</v>
      </c>
      <c r="G133" s="5">
        <v>2.012</v>
      </c>
      <c r="H133" s="5">
        <v>2.048</v>
      </c>
      <c r="I133" s="9">
        <f aca="true" t="shared" si="51" ref="I133:I151">1/58.527/C133</f>
        <v>0.006029299782033366</v>
      </c>
      <c r="J133" s="8">
        <f t="shared" si="38"/>
        <v>0.00598096319225537</v>
      </c>
      <c r="K133" s="8">
        <f t="shared" si="39"/>
        <v>0.006084083247294256</v>
      </c>
      <c r="L133" s="5">
        <f aca="true" t="shared" si="52" ref="L133:L151">C133/100*100000*8.9/1000</f>
        <v>25.221265</v>
      </c>
      <c r="M133" s="24">
        <v>68720</v>
      </c>
      <c r="N133" s="25">
        <v>12350</v>
      </c>
      <c r="O133" s="25">
        <v>25270</v>
      </c>
      <c r="Q133" s="29">
        <f t="shared" si="40"/>
        <v>0</v>
      </c>
      <c r="R133" s="30">
        <f t="shared" si="41"/>
        <v>0</v>
      </c>
      <c r="S133" s="31">
        <f t="shared" si="42"/>
        <v>0</v>
      </c>
      <c r="T133" s="31">
        <f t="shared" si="43"/>
        <v>0</v>
      </c>
      <c r="U133" s="29">
        <f t="shared" si="44"/>
        <v>0</v>
      </c>
      <c r="V133" s="29">
        <f t="shared" si="45"/>
        <v>0</v>
      </c>
      <c r="W133" s="29">
        <f t="shared" si="46"/>
        <v>0</v>
      </c>
      <c r="X133" s="29">
        <f t="shared" si="47"/>
        <v>0</v>
      </c>
      <c r="Y133" s="29">
        <f t="shared" si="48"/>
        <v>0</v>
      </c>
      <c r="Z133" s="29">
        <f t="shared" si="49"/>
        <v>0</v>
      </c>
      <c r="AA133" s="29">
        <f t="shared" si="50"/>
        <v>0</v>
      </c>
      <c r="AB133" s="73">
        <f t="shared" si="23"/>
        <v>0</v>
      </c>
      <c r="AC133" s="73">
        <f t="shared" si="24"/>
        <v>0</v>
      </c>
      <c r="AD133" s="73">
        <f t="shared" si="25"/>
        <v>0</v>
      </c>
    </row>
    <row r="134" spans="2:30" ht="15">
      <c r="B134" s="5">
        <v>2</v>
      </c>
      <c r="C134" s="5">
        <f t="shared" si="26"/>
        <v>3.14</v>
      </c>
      <c r="D134" s="15">
        <v>12</v>
      </c>
      <c r="E134" s="3">
        <v>14</v>
      </c>
      <c r="F134" s="14">
        <v>2.074</v>
      </c>
      <c r="G134" s="5">
        <v>2.112</v>
      </c>
      <c r="H134" s="5">
        <v>2.148</v>
      </c>
      <c r="I134" s="9">
        <f t="shared" si="51"/>
        <v>0.005441443053285113</v>
      </c>
      <c r="J134" s="8">
        <f t="shared" si="38"/>
        <v>0.005397819281010472</v>
      </c>
      <c r="K134" s="8">
        <f t="shared" si="39"/>
        <v>0.005490885130683066</v>
      </c>
      <c r="L134" s="5">
        <f t="shared" si="52"/>
        <v>27.946000000000005</v>
      </c>
      <c r="M134" s="24">
        <v>81890</v>
      </c>
      <c r="N134" s="25">
        <v>14750</v>
      </c>
      <c r="O134" s="25">
        <v>31200</v>
      </c>
      <c r="Q134" s="29">
        <f t="shared" si="40"/>
        <v>0</v>
      </c>
      <c r="R134" s="30">
        <f t="shared" si="41"/>
        <v>0</v>
      </c>
      <c r="S134" s="31">
        <f t="shared" si="42"/>
        <v>0</v>
      </c>
      <c r="T134" s="31">
        <f t="shared" si="43"/>
        <v>0</v>
      </c>
      <c r="U134" s="29">
        <f t="shared" si="44"/>
        <v>0</v>
      </c>
      <c r="V134" s="29">
        <f t="shared" si="45"/>
        <v>0</v>
      </c>
      <c r="W134" s="29">
        <f t="shared" si="46"/>
        <v>0</v>
      </c>
      <c r="X134" s="29">
        <f t="shared" si="47"/>
        <v>0</v>
      </c>
      <c r="Y134" s="29">
        <f t="shared" si="48"/>
        <v>0</v>
      </c>
      <c r="Z134" s="29">
        <f t="shared" si="49"/>
        <v>0</v>
      </c>
      <c r="AA134" s="29">
        <f t="shared" si="50"/>
        <v>0</v>
      </c>
      <c r="AB134" s="73">
        <f t="shared" si="23"/>
        <v>0</v>
      </c>
      <c r="AC134" s="73">
        <f t="shared" si="24"/>
        <v>0</v>
      </c>
      <c r="AD134" s="73">
        <f t="shared" si="25"/>
        <v>0</v>
      </c>
    </row>
    <row r="135" spans="2:30" ht="15">
      <c r="B135" s="2">
        <v>2.12</v>
      </c>
      <c r="C135" s="5">
        <f t="shared" si="26"/>
        <v>3.5281040000000004</v>
      </c>
      <c r="D135" s="15" t="s">
        <v>14</v>
      </c>
      <c r="E135" s="3" t="s">
        <v>20</v>
      </c>
      <c r="F135" s="14">
        <v>2.196</v>
      </c>
      <c r="G135" s="5">
        <v>2.235</v>
      </c>
      <c r="H135" s="5">
        <v>2.272</v>
      </c>
      <c r="I135" s="9">
        <f t="shared" si="51"/>
        <v>0.0048428649459639666</v>
      </c>
      <c r="J135" s="8">
        <f t="shared" si="38"/>
        <v>0.004804039943939543</v>
      </c>
      <c r="K135" s="8">
        <f t="shared" si="39"/>
        <v>0.004886868218835053</v>
      </c>
      <c r="L135" s="5">
        <f t="shared" si="52"/>
        <v>31.400125600000006</v>
      </c>
      <c r="M135" s="24">
        <v>90060</v>
      </c>
      <c r="N135" s="71" t="s">
        <v>56</v>
      </c>
      <c r="O135" s="71" t="s">
        <v>56</v>
      </c>
      <c r="Q135" s="29">
        <f t="shared" si="40"/>
        <v>0</v>
      </c>
      <c r="R135" s="30">
        <f t="shared" si="41"/>
        <v>0</v>
      </c>
      <c r="S135" s="31">
        <f t="shared" si="42"/>
        <v>0</v>
      </c>
      <c r="T135" s="31">
        <f t="shared" si="43"/>
        <v>0</v>
      </c>
      <c r="U135" s="29">
        <f t="shared" si="44"/>
        <v>0</v>
      </c>
      <c r="V135" s="29">
        <f t="shared" si="45"/>
        <v>0</v>
      </c>
      <c r="W135" s="29">
        <f t="shared" si="46"/>
        <v>0</v>
      </c>
      <c r="X135" s="29">
        <f t="shared" si="47"/>
        <v>0</v>
      </c>
      <c r="Y135" s="29">
        <f t="shared" si="48"/>
        <v>0</v>
      </c>
      <c r="Z135" s="29">
        <f t="shared" si="49"/>
        <v>0</v>
      </c>
      <c r="AA135" s="29">
        <f t="shared" si="50"/>
        <v>0</v>
      </c>
      <c r="AB135" s="73">
        <f t="shared" si="23"/>
        <v>0</v>
      </c>
      <c r="AC135" s="73">
        <f t="shared" si="24"/>
        <v>0</v>
      </c>
      <c r="AD135" s="73">
        <f t="shared" si="25"/>
        <v>0</v>
      </c>
    </row>
    <row r="136" spans="2:30" ht="15">
      <c r="B136" s="5">
        <v>2.24</v>
      </c>
      <c r="C136" s="5">
        <f t="shared" si="26"/>
        <v>3.938816000000001</v>
      </c>
      <c r="D136" s="15">
        <v>11</v>
      </c>
      <c r="E136" s="3">
        <v>13</v>
      </c>
      <c r="F136" s="14">
        <v>2.316</v>
      </c>
      <c r="G136" s="5">
        <v>2.355</v>
      </c>
      <c r="H136" s="5">
        <v>2.392</v>
      </c>
      <c r="I136" s="9">
        <f t="shared" si="51"/>
        <v>0.004337885087121422</v>
      </c>
      <c r="J136" s="8">
        <f t="shared" si="38"/>
        <v>0.004303108482948398</v>
      </c>
      <c r="K136" s="8">
        <f t="shared" si="39"/>
        <v>0.004377300008516474</v>
      </c>
      <c r="L136" s="5">
        <f t="shared" si="52"/>
        <v>35.05546240000001</v>
      </c>
      <c r="M136" s="24">
        <v>90060</v>
      </c>
      <c r="N136" s="71" t="s">
        <v>56</v>
      </c>
      <c r="O136" s="71" t="s">
        <v>56</v>
      </c>
      <c r="Q136" s="29">
        <f t="shared" si="40"/>
        <v>0</v>
      </c>
      <c r="R136" s="30">
        <f t="shared" si="41"/>
        <v>0</v>
      </c>
      <c r="S136" s="31">
        <f t="shared" si="42"/>
        <v>0</v>
      </c>
      <c r="T136" s="31">
        <f t="shared" si="43"/>
        <v>0</v>
      </c>
      <c r="U136" s="29">
        <f t="shared" si="44"/>
        <v>0</v>
      </c>
      <c r="V136" s="29">
        <f t="shared" si="45"/>
        <v>0</v>
      </c>
      <c r="W136" s="29">
        <f t="shared" si="46"/>
        <v>0</v>
      </c>
      <c r="X136" s="29">
        <f t="shared" si="47"/>
        <v>0</v>
      </c>
      <c r="Y136" s="29">
        <f t="shared" si="48"/>
        <v>0</v>
      </c>
      <c r="Z136" s="29">
        <f t="shared" si="49"/>
        <v>0</v>
      </c>
      <c r="AA136" s="29">
        <f t="shared" si="50"/>
        <v>0</v>
      </c>
      <c r="AB136" s="73">
        <f t="shared" si="23"/>
        <v>0</v>
      </c>
      <c r="AC136" s="73">
        <f t="shared" si="24"/>
        <v>0</v>
      </c>
      <c r="AD136" s="73">
        <f t="shared" si="25"/>
        <v>0</v>
      </c>
    </row>
    <row r="137" spans="2:30" ht="15">
      <c r="B137" s="2">
        <v>2.36</v>
      </c>
      <c r="C137" s="5">
        <f t="shared" si="26"/>
        <v>4.372136</v>
      </c>
      <c r="D137" s="15" t="s">
        <v>14</v>
      </c>
      <c r="E137" s="3" t="s">
        <v>20</v>
      </c>
      <c r="F137" s="14">
        <v>2.438</v>
      </c>
      <c r="G137" s="5">
        <v>2.478</v>
      </c>
      <c r="H137" s="5">
        <v>2.516</v>
      </c>
      <c r="I137" s="9">
        <f t="shared" si="51"/>
        <v>0.003907959676303586</v>
      </c>
      <c r="J137" s="8">
        <f t="shared" si="38"/>
        <v>0.003876629762288474</v>
      </c>
      <c r="K137" s="8">
        <f t="shared" si="39"/>
        <v>0.003943468206465861</v>
      </c>
      <c r="L137" s="5">
        <f t="shared" si="52"/>
        <v>38.91201040000001</v>
      </c>
      <c r="M137" s="24">
        <v>108000</v>
      </c>
      <c r="N137" s="71" t="s">
        <v>56</v>
      </c>
      <c r="O137" s="71" t="s">
        <v>56</v>
      </c>
      <c r="Q137" s="29">
        <f t="shared" si="40"/>
        <v>0</v>
      </c>
      <c r="R137" s="30">
        <f t="shared" si="41"/>
        <v>0</v>
      </c>
      <c r="S137" s="31">
        <f t="shared" si="42"/>
        <v>0</v>
      </c>
      <c r="T137" s="31">
        <f t="shared" si="43"/>
        <v>0</v>
      </c>
      <c r="U137" s="29">
        <f t="shared" si="44"/>
        <v>0</v>
      </c>
      <c r="V137" s="29">
        <f t="shared" si="45"/>
        <v>0</v>
      </c>
      <c r="W137" s="29">
        <f t="shared" si="46"/>
        <v>0</v>
      </c>
      <c r="X137" s="29">
        <f t="shared" si="47"/>
        <v>0</v>
      </c>
      <c r="Y137" s="29">
        <f t="shared" si="48"/>
        <v>0</v>
      </c>
      <c r="Z137" s="29">
        <f t="shared" si="49"/>
        <v>0</v>
      </c>
      <c r="AA137" s="29">
        <f t="shared" si="50"/>
        <v>0</v>
      </c>
      <c r="AB137" s="73">
        <f t="shared" si="23"/>
        <v>0</v>
      </c>
      <c r="AC137" s="73">
        <f t="shared" si="24"/>
        <v>0</v>
      </c>
      <c r="AD137" s="73">
        <f t="shared" si="25"/>
        <v>0</v>
      </c>
    </row>
    <row r="138" spans="2:30" ht="15">
      <c r="B138" s="5">
        <v>2.5</v>
      </c>
      <c r="C138" s="5">
        <f t="shared" si="26"/>
        <v>4.90625</v>
      </c>
      <c r="D138" s="15">
        <v>10</v>
      </c>
      <c r="E138" s="3">
        <v>12</v>
      </c>
      <c r="F138" s="14">
        <v>2.578</v>
      </c>
      <c r="G138" s="5">
        <v>2.618</v>
      </c>
      <c r="H138" s="5">
        <v>2.656</v>
      </c>
      <c r="I138" s="9">
        <f t="shared" si="51"/>
        <v>0.003482523554102472</v>
      </c>
      <c r="J138" s="8">
        <f t="shared" si="38"/>
        <v>0.003454604339846702</v>
      </c>
      <c r="K138" s="8">
        <f t="shared" si="39"/>
        <v>0.0035141664836371624</v>
      </c>
      <c r="L138" s="5">
        <f t="shared" si="52"/>
        <v>43.665625</v>
      </c>
      <c r="M138" s="24">
        <v>117600</v>
      </c>
      <c r="N138" s="71" t="s">
        <v>56</v>
      </c>
      <c r="O138" s="71" t="s">
        <v>56</v>
      </c>
      <c r="Q138" s="29">
        <f t="shared" si="40"/>
        <v>0</v>
      </c>
      <c r="R138" s="30">
        <f t="shared" si="41"/>
        <v>0</v>
      </c>
      <c r="S138" s="31">
        <f t="shared" si="42"/>
        <v>0</v>
      </c>
      <c r="T138" s="31">
        <f t="shared" si="43"/>
        <v>0</v>
      </c>
      <c r="U138" s="29">
        <f t="shared" si="44"/>
        <v>0</v>
      </c>
      <c r="V138" s="29">
        <f t="shared" si="45"/>
        <v>0</v>
      </c>
      <c r="W138" s="29">
        <f t="shared" si="46"/>
        <v>0</v>
      </c>
      <c r="X138" s="29">
        <f t="shared" si="47"/>
        <v>0</v>
      </c>
      <c r="Y138" s="29">
        <f t="shared" si="48"/>
        <v>0</v>
      </c>
      <c r="Z138" s="29">
        <f t="shared" si="49"/>
        <v>0</v>
      </c>
      <c r="AA138" s="29">
        <f t="shared" si="50"/>
        <v>0</v>
      </c>
      <c r="AB138" s="73">
        <f t="shared" si="23"/>
        <v>0</v>
      </c>
      <c r="AC138" s="73">
        <f t="shared" si="24"/>
        <v>0</v>
      </c>
      <c r="AD138" s="73">
        <f t="shared" si="25"/>
        <v>0</v>
      </c>
    </row>
    <row r="139" spans="2:30" ht="15">
      <c r="B139" s="12">
        <v>2.8</v>
      </c>
      <c r="C139" s="12">
        <f t="shared" si="26"/>
        <v>6.1544</v>
      </c>
      <c r="D139" s="15">
        <v>9</v>
      </c>
      <c r="E139" s="3">
        <v>11</v>
      </c>
      <c r="F139" s="18" t="s">
        <v>55</v>
      </c>
      <c r="G139" s="18" t="s">
        <v>55</v>
      </c>
      <c r="H139" s="18" t="s">
        <v>55</v>
      </c>
      <c r="I139" s="16">
        <f t="shared" si="51"/>
        <v>0.0027762464557577107</v>
      </c>
      <c r="J139" s="17">
        <f t="shared" si="38"/>
        <v>0.0027539894290869752</v>
      </c>
      <c r="K139" s="17">
        <f t="shared" si="39"/>
        <v>0.002801472005450544</v>
      </c>
      <c r="L139" s="5">
        <f t="shared" si="52"/>
        <v>54.77416</v>
      </c>
      <c r="M139" s="24">
        <v>160100</v>
      </c>
      <c r="N139" s="71" t="s">
        <v>56</v>
      </c>
      <c r="O139" s="71" t="s">
        <v>56</v>
      </c>
      <c r="Q139" s="29">
        <f t="shared" si="40"/>
        <v>0</v>
      </c>
      <c r="R139" s="30">
        <f t="shared" si="41"/>
        <v>0</v>
      </c>
      <c r="S139" s="31">
        <f t="shared" si="42"/>
        <v>0</v>
      </c>
      <c r="T139" s="31">
        <f t="shared" si="43"/>
        <v>0</v>
      </c>
      <c r="U139" s="29">
        <f t="shared" si="44"/>
        <v>0</v>
      </c>
      <c r="V139" s="29">
        <f t="shared" si="45"/>
        <v>0</v>
      </c>
      <c r="W139" s="29">
        <f t="shared" si="46"/>
        <v>0</v>
      </c>
      <c r="X139" s="29">
        <f t="shared" si="47"/>
        <v>0</v>
      </c>
      <c r="Y139" s="29">
        <f t="shared" si="48"/>
        <v>0</v>
      </c>
      <c r="Z139" s="29">
        <f t="shared" si="49"/>
        <v>0</v>
      </c>
      <c r="AA139" s="29">
        <f t="shared" si="50"/>
        <v>0</v>
      </c>
      <c r="AB139" s="73">
        <f t="shared" si="23"/>
        <v>0</v>
      </c>
      <c r="AC139" s="73">
        <f t="shared" si="24"/>
        <v>0</v>
      </c>
      <c r="AD139" s="73">
        <f t="shared" si="25"/>
        <v>0</v>
      </c>
    </row>
    <row r="140" spans="2:30" ht="15">
      <c r="B140" s="12">
        <v>3.15</v>
      </c>
      <c r="C140" s="12">
        <f t="shared" si="26"/>
        <v>7.7891625</v>
      </c>
      <c r="D140" s="15">
        <v>8</v>
      </c>
      <c r="E140" s="3">
        <v>10</v>
      </c>
      <c r="F140" s="18" t="s">
        <v>55</v>
      </c>
      <c r="G140" s="18" t="s">
        <v>55</v>
      </c>
      <c r="H140" s="18" t="s">
        <v>55</v>
      </c>
      <c r="I140" s="16">
        <f t="shared" si="51"/>
        <v>0.002193577446524611</v>
      </c>
      <c r="J140" s="17">
        <f t="shared" si="38"/>
        <v>0.0021759916476736594</v>
      </c>
      <c r="K140" s="17">
        <f t="shared" si="39"/>
        <v>0.0022135087450473436</v>
      </c>
      <c r="L140" s="5">
        <f t="shared" si="52"/>
        <v>69.32354624999999</v>
      </c>
      <c r="M140" s="24">
        <v>171700</v>
      </c>
      <c r="N140" s="71" t="s">
        <v>56</v>
      </c>
      <c r="O140" s="71" t="s">
        <v>56</v>
      </c>
      <c r="Q140" s="29">
        <f t="shared" si="40"/>
        <v>0</v>
      </c>
      <c r="R140" s="30">
        <f t="shared" si="41"/>
        <v>0</v>
      </c>
      <c r="S140" s="31">
        <f t="shared" si="42"/>
        <v>0</v>
      </c>
      <c r="T140" s="31">
        <f t="shared" si="43"/>
        <v>0</v>
      </c>
      <c r="U140" s="29">
        <f t="shared" si="44"/>
        <v>0</v>
      </c>
      <c r="V140" s="29">
        <f t="shared" si="45"/>
        <v>0</v>
      </c>
      <c r="W140" s="29">
        <f t="shared" si="46"/>
        <v>0</v>
      </c>
      <c r="X140" s="29">
        <f t="shared" si="47"/>
        <v>0</v>
      </c>
      <c r="Y140" s="29">
        <f t="shared" si="48"/>
        <v>0</v>
      </c>
      <c r="Z140" s="29">
        <f t="shared" si="49"/>
        <v>0</v>
      </c>
      <c r="AA140" s="29">
        <f t="shared" si="50"/>
        <v>0</v>
      </c>
      <c r="AB140" s="73">
        <f t="shared" si="23"/>
        <v>0</v>
      </c>
      <c r="AC140" s="73">
        <f t="shared" si="24"/>
        <v>0</v>
      </c>
      <c r="AD140" s="73">
        <f t="shared" si="25"/>
        <v>0</v>
      </c>
    </row>
    <row r="141" spans="2:30" ht="15">
      <c r="B141" s="12">
        <v>3.55</v>
      </c>
      <c r="C141" s="12">
        <f t="shared" si="26"/>
        <v>9.8929625</v>
      </c>
      <c r="D141" s="15">
        <v>7</v>
      </c>
      <c r="E141" s="3">
        <v>9</v>
      </c>
      <c r="F141" s="18" t="s">
        <v>55</v>
      </c>
      <c r="G141" s="18" t="s">
        <v>55</v>
      </c>
      <c r="H141" s="18" t="s">
        <v>55</v>
      </c>
      <c r="I141" s="16">
        <f t="shared" si="51"/>
        <v>0.0017270995606538744</v>
      </c>
      <c r="J141" s="17">
        <f t="shared" si="38"/>
        <v>0.0017132534912947341</v>
      </c>
      <c r="K141" s="17">
        <f t="shared" si="39"/>
        <v>0.0017427923445929193</v>
      </c>
      <c r="L141" s="5">
        <f t="shared" si="52"/>
        <v>88.04736625000001</v>
      </c>
      <c r="M141" s="24">
        <v>250100</v>
      </c>
      <c r="N141" s="71" t="s">
        <v>56</v>
      </c>
      <c r="O141" s="71" t="s">
        <v>56</v>
      </c>
      <c r="Q141" s="29">
        <f t="shared" si="40"/>
        <v>0</v>
      </c>
      <c r="R141" s="30">
        <f t="shared" si="41"/>
        <v>0</v>
      </c>
      <c r="S141" s="31">
        <f t="shared" si="42"/>
        <v>0</v>
      </c>
      <c r="T141" s="31">
        <f t="shared" si="43"/>
        <v>0</v>
      </c>
      <c r="U141" s="29">
        <f t="shared" si="44"/>
        <v>0</v>
      </c>
      <c r="V141" s="29">
        <f t="shared" si="45"/>
        <v>0</v>
      </c>
      <c r="W141" s="29">
        <f t="shared" si="46"/>
        <v>0</v>
      </c>
      <c r="X141" s="29">
        <f t="shared" si="47"/>
        <v>0</v>
      </c>
      <c r="Y141" s="29">
        <f t="shared" si="48"/>
        <v>0</v>
      </c>
      <c r="Z141" s="29">
        <f t="shared" si="49"/>
        <v>0</v>
      </c>
      <c r="AA141" s="29">
        <f t="shared" si="50"/>
        <v>0</v>
      </c>
      <c r="AB141" s="73">
        <f t="shared" si="23"/>
        <v>0</v>
      </c>
      <c r="AC141" s="73">
        <f t="shared" si="24"/>
        <v>0</v>
      </c>
      <c r="AD141" s="73">
        <f t="shared" si="25"/>
        <v>0</v>
      </c>
    </row>
    <row r="142" spans="2:30" ht="15">
      <c r="B142" s="12">
        <v>4</v>
      </c>
      <c r="C142" s="12">
        <f t="shared" si="26"/>
        <v>12.56</v>
      </c>
      <c r="D142" s="15">
        <v>6</v>
      </c>
      <c r="E142" s="3">
        <v>8</v>
      </c>
      <c r="F142" s="18" t="s">
        <v>55</v>
      </c>
      <c r="G142" s="18" t="s">
        <v>55</v>
      </c>
      <c r="H142" s="18" t="s">
        <v>55</v>
      </c>
      <c r="I142" s="16">
        <f t="shared" si="51"/>
        <v>0.0013603607633212783</v>
      </c>
      <c r="J142" s="17">
        <f t="shared" si="38"/>
        <v>0.001349454820252618</v>
      </c>
      <c r="K142" s="17">
        <f t="shared" si="39"/>
        <v>0.0013727212826707665</v>
      </c>
      <c r="L142" s="5">
        <f t="shared" si="52"/>
        <v>111.78400000000002</v>
      </c>
      <c r="M142" s="24">
        <v>326800</v>
      </c>
      <c r="N142" s="71" t="s">
        <v>56</v>
      </c>
      <c r="O142" s="71" t="s">
        <v>56</v>
      </c>
      <c r="Q142" s="29">
        <f t="shared" si="40"/>
        <v>0</v>
      </c>
      <c r="R142" s="30">
        <f t="shared" si="41"/>
        <v>0</v>
      </c>
      <c r="S142" s="31">
        <f t="shared" si="42"/>
        <v>0</v>
      </c>
      <c r="T142" s="31">
        <f t="shared" si="43"/>
        <v>0</v>
      </c>
      <c r="U142" s="29">
        <f t="shared" si="44"/>
        <v>0</v>
      </c>
      <c r="V142" s="29">
        <f t="shared" si="45"/>
        <v>0</v>
      </c>
      <c r="W142" s="29">
        <f t="shared" si="46"/>
        <v>0</v>
      </c>
      <c r="X142" s="29">
        <f t="shared" si="47"/>
        <v>0</v>
      </c>
      <c r="Y142" s="29">
        <f t="shared" si="48"/>
        <v>0</v>
      </c>
      <c r="Z142" s="29">
        <f t="shared" si="49"/>
        <v>0</v>
      </c>
      <c r="AA142" s="29">
        <f t="shared" si="50"/>
        <v>0</v>
      </c>
      <c r="AB142" s="73">
        <f t="shared" si="23"/>
        <v>0</v>
      </c>
      <c r="AC142" s="73">
        <f t="shared" si="24"/>
        <v>0</v>
      </c>
      <c r="AD142" s="73">
        <f t="shared" si="25"/>
        <v>0</v>
      </c>
    </row>
    <row r="143" spans="2:30" ht="15">
      <c r="B143" s="12">
        <v>4.5</v>
      </c>
      <c r="C143" s="12">
        <f t="shared" si="26"/>
        <v>15.89625</v>
      </c>
      <c r="D143" s="15">
        <v>5</v>
      </c>
      <c r="E143" s="3">
        <v>7</v>
      </c>
      <c r="F143" s="18" t="s">
        <v>55</v>
      </c>
      <c r="G143" s="18" t="s">
        <v>55</v>
      </c>
      <c r="H143" s="18" t="s">
        <v>55</v>
      </c>
      <c r="I143" s="16">
        <f t="shared" si="51"/>
        <v>0.0010748529487970594</v>
      </c>
      <c r="J143" s="17">
        <f t="shared" si="38"/>
        <v>0.001066235907360093</v>
      </c>
      <c r="K143" s="17">
        <f t="shared" si="39"/>
        <v>0.0010846192850731981</v>
      </c>
      <c r="L143" s="5">
        <f t="shared" si="52"/>
        <v>141.476625</v>
      </c>
      <c r="M143" s="24">
        <v>413400</v>
      </c>
      <c r="N143" s="71" t="s">
        <v>56</v>
      </c>
      <c r="O143" s="71" t="s">
        <v>56</v>
      </c>
      <c r="Q143" s="29">
        <f t="shared" si="40"/>
        <v>0</v>
      </c>
      <c r="R143" s="30">
        <f t="shared" si="41"/>
        <v>0</v>
      </c>
      <c r="S143" s="31">
        <f t="shared" si="42"/>
        <v>0</v>
      </c>
      <c r="T143" s="31">
        <f t="shared" si="43"/>
        <v>0</v>
      </c>
      <c r="U143" s="29">
        <f t="shared" si="44"/>
        <v>0</v>
      </c>
      <c r="V143" s="29">
        <f t="shared" si="45"/>
        <v>0</v>
      </c>
      <c r="W143" s="29">
        <f t="shared" si="46"/>
        <v>0</v>
      </c>
      <c r="X143" s="29">
        <f t="shared" si="47"/>
        <v>0</v>
      </c>
      <c r="Y143" s="29">
        <f t="shared" si="48"/>
        <v>0</v>
      </c>
      <c r="Z143" s="29">
        <f t="shared" si="49"/>
        <v>0</v>
      </c>
      <c r="AA143" s="29">
        <f t="shared" si="50"/>
        <v>0</v>
      </c>
      <c r="AB143" s="73">
        <f t="shared" si="23"/>
        <v>0</v>
      </c>
      <c r="AC143" s="73">
        <f t="shared" si="24"/>
        <v>0</v>
      </c>
      <c r="AD143" s="73">
        <f t="shared" si="25"/>
        <v>0</v>
      </c>
    </row>
    <row r="144" spans="2:30" ht="15">
      <c r="B144" s="12">
        <v>5</v>
      </c>
      <c r="C144" s="12">
        <f t="shared" si="26"/>
        <v>19.625</v>
      </c>
      <c r="D144" s="15">
        <v>4</v>
      </c>
      <c r="E144" s="3">
        <v>6</v>
      </c>
      <c r="F144" s="18" t="s">
        <v>55</v>
      </c>
      <c r="G144" s="18" t="s">
        <v>55</v>
      </c>
      <c r="H144" s="18" t="s">
        <v>55</v>
      </c>
      <c r="I144" s="16">
        <f t="shared" si="51"/>
        <v>0.000870630888525618</v>
      </c>
      <c r="J144" s="17">
        <f t="shared" si="38"/>
        <v>0.0008636510849616755</v>
      </c>
      <c r="K144" s="17">
        <f t="shared" si="39"/>
        <v>0.0008785416209092906</v>
      </c>
      <c r="L144" s="5">
        <f t="shared" si="52"/>
        <v>174.6625</v>
      </c>
      <c r="M144" s="24">
        <v>510600</v>
      </c>
      <c r="N144" s="71" t="s">
        <v>56</v>
      </c>
      <c r="O144" s="71" t="s">
        <v>56</v>
      </c>
      <c r="Q144" s="29">
        <f t="shared" si="40"/>
        <v>0</v>
      </c>
      <c r="R144" s="30">
        <f t="shared" si="41"/>
        <v>0</v>
      </c>
      <c r="S144" s="31">
        <f t="shared" si="42"/>
        <v>0</v>
      </c>
      <c r="T144" s="31">
        <f t="shared" si="43"/>
        <v>0</v>
      </c>
      <c r="U144" s="29">
        <f t="shared" si="44"/>
        <v>0</v>
      </c>
      <c r="V144" s="29">
        <f t="shared" si="45"/>
        <v>0</v>
      </c>
      <c r="W144" s="29">
        <f t="shared" si="46"/>
        <v>0</v>
      </c>
      <c r="X144" s="29">
        <f t="shared" si="47"/>
        <v>0</v>
      </c>
      <c r="Y144" s="29">
        <f t="shared" si="48"/>
        <v>0</v>
      </c>
      <c r="Z144" s="29">
        <f t="shared" si="49"/>
        <v>0</v>
      </c>
      <c r="AA144" s="29">
        <f t="shared" si="50"/>
        <v>0</v>
      </c>
      <c r="AB144" s="73">
        <f t="shared" si="23"/>
        <v>0</v>
      </c>
      <c r="AC144" s="73">
        <f t="shared" si="24"/>
        <v>0</v>
      </c>
      <c r="AD144" s="73">
        <f t="shared" si="25"/>
        <v>0</v>
      </c>
    </row>
    <row r="145" spans="2:30" ht="15">
      <c r="B145" s="12">
        <v>5.6</v>
      </c>
      <c r="C145" s="12">
        <f t="shared" si="26"/>
        <v>24.6176</v>
      </c>
      <c r="D145" s="15">
        <v>3</v>
      </c>
      <c r="E145" s="3">
        <v>4</v>
      </c>
      <c r="F145" s="18" t="s">
        <v>55</v>
      </c>
      <c r="G145" s="18" t="s">
        <v>55</v>
      </c>
      <c r="H145" s="18" t="s">
        <v>55</v>
      </c>
      <c r="I145" s="16">
        <f t="shared" si="51"/>
        <v>0.0006940616139394277</v>
      </c>
      <c r="J145" s="17">
        <f t="shared" si="38"/>
        <v>0.0006884973572717438</v>
      </c>
      <c r="K145" s="17">
        <f t="shared" si="39"/>
        <v>0.000700368001362636</v>
      </c>
      <c r="L145" s="5">
        <f t="shared" si="52"/>
        <v>219.09664</v>
      </c>
      <c r="M145" s="71" t="s">
        <v>56</v>
      </c>
      <c r="N145" s="71" t="s">
        <v>56</v>
      </c>
      <c r="O145" s="71" t="s">
        <v>56</v>
      </c>
      <c r="Q145" s="29">
        <f t="shared" si="40"/>
        <v>0</v>
      </c>
      <c r="R145" s="30">
        <f t="shared" si="41"/>
        <v>0</v>
      </c>
      <c r="S145" s="31">
        <f t="shared" si="42"/>
        <v>0</v>
      </c>
      <c r="T145" s="31">
        <f t="shared" si="43"/>
        <v>0</v>
      </c>
      <c r="U145" s="29">
        <f t="shared" si="44"/>
        <v>0</v>
      </c>
      <c r="V145" s="29">
        <f t="shared" si="45"/>
        <v>0</v>
      </c>
      <c r="W145" s="29">
        <f t="shared" si="46"/>
        <v>0</v>
      </c>
      <c r="X145" s="29">
        <f t="shared" si="47"/>
        <v>0</v>
      </c>
      <c r="Y145" s="29">
        <f t="shared" si="48"/>
        <v>0</v>
      </c>
      <c r="Z145" s="29">
        <f t="shared" si="49"/>
        <v>0</v>
      </c>
      <c r="AA145" s="29">
        <f t="shared" si="50"/>
        <v>0</v>
      </c>
      <c r="AB145" s="73">
        <f t="shared" si="23"/>
        <v>0</v>
      </c>
      <c r="AC145" s="73">
        <f t="shared" si="24"/>
        <v>0</v>
      </c>
      <c r="AD145" s="73">
        <f t="shared" si="25"/>
        <v>0</v>
      </c>
    </row>
    <row r="146" spans="2:30" ht="15">
      <c r="B146" s="12">
        <v>6.3</v>
      </c>
      <c r="C146" s="12">
        <f t="shared" si="26"/>
        <v>31.15665</v>
      </c>
      <c r="D146" s="15">
        <v>2</v>
      </c>
      <c r="E146" s="3">
        <v>3</v>
      </c>
      <c r="F146" s="18" t="s">
        <v>55</v>
      </c>
      <c r="G146" s="18" t="s">
        <v>55</v>
      </c>
      <c r="H146" s="18" t="s">
        <v>55</v>
      </c>
      <c r="I146" s="16">
        <f t="shared" si="51"/>
        <v>0.0005483943616311528</v>
      </c>
      <c r="J146" s="17">
        <f t="shared" si="38"/>
        <v>0.0005439979119184149</v>
      </c>
      <c r="K146" s="17">
        <f t="shared" si="39"/>
        <v>0.0005533771862618359</v>
      </c>
      <c r="L146" s="5">
        <f t="shared" si="52"/>
        <v>277.29418499999997</v>
      </c>
      <c r="M146" s="71" t="s">
        <v>56</v>
      </c>
      <c r="N146" s="71" t="s">
        <v>56</v>
      </c>
      <c r="O146" s="71" t="s">
        <v>56</v>
      </c>
      <c r="Q146" s="29">
        <f t="shared" si="40"/>
        <v>0</v>
      </c>
      <c r="R146" s="30">
        <f t="shared" si="41"/>
        <v>0</v>
      </c>
      <c r="S146" s="31">
        <f t="shared" si="42"/>
        <v>0</v>
      </c>
      <c r="T146" s="31">
        <f t="shared" si="43"/>
        <v>0</v>
      </c>
      <c r="U146" s="29">
        <f t="shared" si="44"/>
        <v>0</v>
      </c>
      <c r="V146" s="29">
        <f t="shared" si="45"/>
        <v>0</v>
      </c>
      <c r="W146" s="29">
        <f t="shared" si="46"/>
        <v>0</v>
      </c>
      <c r="X146" s="29">
        <f t="shared" si="47"/>
        <v>0</v>
      </c>
      <c r="Y146" s="29">
        <f t="shared" si="48"/>
        <v>0</v>
      </c>
      <c r="Z146" s="29">
        <f t="shared" si="49"/>
        <v>0</v>
      </c>
      <c r="AA146" s="29">
        <f t="shared" si="50"/>
        <v>0</v>
      </c>
      <c r="AB146" s="73">
        <f t="shared" si="23"/>
        <v>0</v>
      </c>
      <c r="AC146" s="73">
        <f t="shared" si="24"/>
        <v>0</v>
      </c>
      <c r="AD146" s="73">
        <f t="shared" si="25"/>
        <v>0</v>
      </c>
    </row>
    <row r="147" spans="2:30" ht="15">
      <c r="B147" s="12">
        <v>7.1</v>
      </c>
      <c r="C147" s="12">
        <f t="shared" si="26"/>
        <v>39.57185</v>
      </c>
      <c r="D147" s="15">
        <v>1</v>
      </c>
      <c r="E147" s="3">
        <v>2</v>
      </c>
      <c r="F147" s="18" t="s">
        <v>55</v>
      </c>
      <c r="G147" s="18" t="s">
        <v>55</v>
      </c>
      <c r="H147" s="18" t="s">
        <v>55</v>
      </c>
      <c r="I147" s="16">
        <f t="shared" si="51"/>
        <v>0.0004317748901634686</v>
      </c>
      <c r="J147" s="17">
        <f t="shared" si="38"/>
        <v>0.00042831337282368354</v>
      </c>
      <c r="K147" s="17">
        <f t="shared" si="39"/>
        <v>0.0004356980861482298</v>
      </c>
      <c r="L147" s="5">
        <f t="shared" si="52"/>
        <v>352.18946500000004</v>
      </c>
      <c r="M147" s="71" t="s">
        <v>56</v>
      </c>
      <c r="N147" s="71" t="s">
        <v>56</v>
      </c>
      <c r="O147" s="71" t="s">
        <v>56</v>
      </c>
      <c r="Q147" s="29">
        <f t="shared" si="40"/>
        <v>0</v>
      </c>
      <c r="R147" s="30">
        <f t="shared" si="41"/>
        <v>0</v>
      </c>
      <c r="S147" s="31">
        <f t="shared" si="42"/>
        <v>0</v>
      </c>
      <c r="T147" s="31">
        <f t="shared" si="43"/>
        <v>0</v>
      </c>
      <c r="U147" s="29">
        <f t="shared" si="44"/>
        <v>0</v>
      </c>
      <c r="V147" s="29">
        <f t="shared" si="45"/>
        <v>0</v>
      </c>
      <c r="W147" s="29">
        <f t="shared" si="46"/>
        <v>0</v>
      </c>
      <c r="X147" s="29">
        <f t="shared" si="47"/>
        <v>0</v>
      </c>
      <c r="Y147" s="29">
        <f t="shared" si="48"/>
        <v>0</v>
      </c>
      <c r="Z147" s="29">
        <f t="shared" si="49"/>
        <v>0</v>
      </c>
      <c r="AA147" s="29">
        <f t="shared" si="50"/>
        <v>0</v>
      </c>
      <c r="AB147" s="73">
        <f t="shared" si="23"/>
        <v>0</v>
      </c>
      <c r="AC147" s="73">
        <f t="shared" si="24"/>
        <v>0</v>
      </c>
      <c r="AD147" s="73">
        <f t="shared" si="25"/>
        <v>0</v>
      </c>
    </row>
    <row r="148" spans="2:30" ht="15">
      <c r="B148" s="12">
        <v>8</v>
      </c>
      <c r="C148" s="12">
        <f t="shared" si="26"/>
        <v>50.24</v>
      </c>
      <c r="D148" s="15" t="s">
        <v>17</v>
      </c>
      <c r="E148" s="3" t="s">
        <v>21</v>
      </c>
      <c r="F148" s="18" t="s">
        <v>55</v>
      </c>
      <c r="G148" s="18" t="s">
        <v>55</v>
      </c>
      <c r="H148" s="18" t="s">
        <v>55</v>
      </c>
      <c r="I148" s="16">
        <f t="shared" si="51"/>
        <v>0.00034009019083031957</v>
      </c>
      <c r="J148" s="17">
        <f t="shared" si="38"/>
        <v>0.0003373637050631545</v>
      </c>
      <c r="K148" s="17">
        <f t="shared" si="39"/>
        <v>0.0003431803206676916</v>
      </c>
      <c r="L148" s="5">
        <f t="shared" si="52"/>
        <v>447.1360000000001</v>
      </c>
      <c r="M148" s="71" t="s">
        <v>56</v>
      </c>
      <c r="N148" s="71" t="s">
        <v>56</v>
      </c>
      <c r="O148" s="71" t="s">
        <v>56</v>
      </c>
      <c r="Q148" s="29">
        <f t="shared" si="40"/>
        <v>0</v>
      </c>
      <c r="R148" s="30">
        <f t="shared" si="41"/>
        <v>0</v>
      </c>
      <c r="S148" s="31">
        <f t="shared" si="42"/>
        <v>0</v>
      </c>
      <c r="T148" s="31">
        <f t="shared" si="43"/>
        <v>0</v>
      </c>
      <c r="U148" s="29">
        <f t="shared" si="44"/>
        <v>0</v>
      </c>
      <c r="V148" s="29">
        <f t="shared" si="45"/>
        <v>0</v>
      </c>
      <c r="W148" s="29">
        <f t="shared" si="46"/>
        <v>0</v>
      </c>
      <c r="X148" s="29">
        <f t="shared" si="47"/>
        <v>0</v>
      </c>
      <c r="Y148" s="29">
        <f t="shared" si="48"/>
        <v>0</v>
      </c>
      <c r="Z148" s="29">
        <f t="shared" si="49"/>
        <v>0</v>
      </c>
      <c r="AA148" s="29">
        <f t="shared" si="50"/>
        <v>0</v>
      </c>
      <c r="AB148" s="73">
        <f t="shared" si="23"/>
        <v>0</v>
      </c>
      <c r="AC148" s="73">
        <f t="shared" si="24"/>
        <v>0</v>
      </c>
      <c r="AD148" s="73">
        <f t="shared" si="25"/>
        <v>0</v>
      </c>
    </row>
    <row r="149" spans="2:30" ht="15">
      <c r="B149" s="12">
        <v>9</v>
      </c>
      <c r="C149" s="12">
        <f t="shared" si="26"/>
        <v>63.585</v>
      </c>
      <c r="D149" s="15" t="s">
        <v>18</v>
      </c>
      <c r="E149" s="3" t="s">
        <v>22</v>
      </c>
      <c r="F149" s="18" t="s">
        <v>55</v>
      </c>
      <c r="G149" s="18" t="s">
        <v>55</v>
      </c>
      <c r="H149" s="18" t="s">
        <v>55</v>
      </c>
      <c r="I149" s="16">
        <f t="shared" si="51"/>
        <v>0.00026871323719926486</v>
      </c>
      <c r="J149" s="17">
        <f t="shared" si="38"/>
        <v>0.0002665589768400233</v>
      </c>
      <c r="K149" s="17">
        <f t="shared" si="39"/>
        <v>0.00027115482126829953</v>
      </c>
      <c r="L149" s="5">
        <f t="shared" si="52"/>
        <v>565.9065</v>
      </c>
      <c r="M149" s="71" t="s">
        <v>56</v>
      </c>
      <c r="N149" s="71" t="s">
        <v>56</v>
      </c>
      <c r="O149" s="71" t="s">
        <v>56</v>
      </c>
      <c r="Q149" s="29">
        <f t="shared" si="40"/>
        <v>0</v>
      </c>
      <c r="R149" s="30">
        <f t="shared" si="41"/>
        <v>0</v>
      </c>
      <c r="S149" s="31">
        <f t="shared" si="42"/>
        <v>0</v>
      </c>
      <c r="T149" s="31">
        <f t="shared" si="43"/>
        <v>0</v>
      </c>
      <c r="U149" s="29">
        <f t="shared" si="44"/>
        <v>0</v>
      </c>
      <c r="V149" s="29">
        <f t="shared" si="45"/>
        <v>0</v>
      </c>
      <c r="W149" s="29">
        <f t="shared" si="46"/>
        <v>0</v>
      </c>
      <c r="X149" s="29">
        <f t="shared" si="47"/>
        <v>0</v>
      </c>
      <c r="Y149" s="29">
        <f t="shared" si="48"/>
        <v>0</v>
      </c>
      <c r="Z149" s="29">
        <f t="shared" si="49"/>
        <v>0</v>
      </c>
      <c r="AA149" s="29">
        <f t="shared" si="50"/>
        <v>0</v>
      </c>
      <c r="AB149" s="73">
        <f>IF(Q149=B149,M149,AB150)</f>
        <v>0</v>
      </c>
      <c r="AC149" s="73">
        <f>IF(Q149=B149,N149,AC150)</f>
        <v>0</v>
      </c>
      <c r="AD149" s="73">
        <f>IF(Q149=B149,O149,AD150)</f>
        <v>0</v>
      </c>
    </row>
    <row r="150" spans="2:30" ht="15">
      <c r="B150" s="12">
        <v>10</v>
      </c>
      <c r="C150" s="12">
        <f t="shared" si="26"/>
        <v>78.5</v>
      </c>
      <c r="D150" s="15" t="s">
        <v>25</v>
      </c>
      <c r="E150" s="3" t="s">
        <v>23</v>
      </c>
      <c r="F150" s="18" t="s">
        <v>55</v>
      </c>
      <c r="G150" s="18" t="s">
        <v>55</v>
      </c>
      <c r="H150" s="18" t="s">
        <v>55</v>
      </c>
      <c r="I150" s="16">
        <f t="shared" si="51"/>
        <v>0.0002176577221314045</v>
      </c>
      <c r="J150" s="17">
        <f t="shared" si="38"/>
        <v>0.00021591277124041888</v>
      </c>
      <c r="K150" s="17">
        <f t="shared" si="39"/>
        <v>0.00021963540522732265</v>
      </c>
      <c r="L150" s="5">
        <f t="shared" si="52"/>
        <v>698.65</v>
      </c>
      <c r="M150" s="71" t="s">
        <v>56</v>
      </c>
      <c r="N150" s="71" t="s">
        <v>56</v>
      </c>
      <c r="O150" s="71" t="s">
        <v>56</v>
      </c>
      <c r="Q150" s="29">
        <f t="shared" si="40"/>
        <v>0</v>
      </c>
      <c r="R150" s="30">
        <f t="shared" si="41"/>
        <v>0</v>
      </c>
      <c r="S150" s="31">
        <f t="shared" si="42"/>
        <v>0</v>
      </c>
      <c r="T150" s="31">
        <f t="shared" si="43"/>
        <v>0</v>
      </c>
      <c r="U150" s="29">
        <f t="shared" si="44"/>
        <v>0</v>
      </c>
      <c r="V150" s="29">
        <f t="shared" si="45"/>
        <v>0</v>
      </c>
      <c r="W150" s="29">
        <f t="shared" si="46"/>
        <v>0</v>
      </c>
      <c r="X150" s="29">
        <f t="shared" si="47"/>
        <v>0</v>
      </c>
      <c r="Y150" s="29">
        <f t="shared" si="48"/>
        <v>0</v>
      </c>
      <c r="Z150" s="29">
        <f t="shared" si="49"/>
        <v>0</v>
      </c>
      <c r="AA150" s="29">
        <f t="shared" si="50"/>
        <v>0</v>
      </c>
      <c r="AB150" s="73">
        <f>IF(Q150=B150,M150,AB151)</f>
        <v>0</v>
      </c>
      <c r="AC150" s="73">
        <f>IF(Q150=B150,N150,AC151)</f>
        <v>0</v>
      </c>
      <c r="AD150" s="73">
        <f>IF(Q150=B150,O150,AD151)</f>
        <v>0</v>
      </c>
    </row>
    <row r="151" spans="2:30" ht="15">
      <c r="B151" s="12">
        <v>11.2</v>
      </c>
      <c r="C151" s="12">
        <f t="shared" si="26"/>
        <v>98.4704</v>
      </c>
      <c r="D151" s="15" t="s">
        <v>19</v>
      </c>
      <c r="E151" s="3" t="s">
        <v>24</v>
      </c>
      <c r="F151" s="18" t="s">
        <v>55</v>
      </c>
      <c r="G151" s="18" t="s">
        <v>55</v>
      </c>
      <c r="H151" s="18" t="s">
        <v>55</v>
      </c>
      <c r="I151" s="16">
        <f t="shared" si="51"/>
        <v>0.00017351540348485692</v>
      </c>
      <c r="J151" s="17">
        <f t="shared" si="38"/>
        <v>0.00017212433931793595</v>
      </c>
      <c r="K151" s="17">
        <f t="shared" si="39"/>
        <v>0.000175092000340659</v>
      </c>
      <c r="L151" s="5">
        <f t="shared" si="52"/>
        <v>876.38656</v>
      </c>
      <c r="M151" s="71" t="s">
        <v>56</v>
      </c>
      <c r="N151" s="71" t="s">
        <v>56</v>
      </c>
      <c r="O151" s="71" t="s">
        <v>56</v>
      </c>
      <c r="Q151" s="29">
        <f t="shared" si="40"/>
        <v>0</v>
      </c>
      <c r="R151" s="30">
        <f t="shared" si="41"/>
        <v>0</v>
      </c>
      <c r="S151" s="31">
        <f t="shared" si="42"/>
        <v>0</v>
      </c>
      <c r="T151" s="31">
        <f t="shared" si="43"/>
        <v>0</v>
      </c>
      <c r="U151" s="29">
        <f t="shared" si="44"/>
        <v>0</v>
      </c>
      <c r="V151" s="29">
        <f t="shared" si="45"/>
        <v>0</v>
      </c>
      <c r="W151" s="29">
        <f t="shared" si="46"/>
        <v>0</v>
      </c>
      <c r="X151" s="29">
        <f t="shared" si="47"/>
        <v>0</v>
      </c>
      <c r="Y151" s="29">
        <f t="shared" si="48"/>
        <v>0</v>
      </c>
      <c r="Z151" s="29">
        <f t="shared" si="49"/>
        <v>0</v>
      </c>
      <c r="AA151" s="29">
        <f t="shared" si="50"/>
        <v>0</v>
      </c>
      <c r="AB151" s="73">
        <f>IF(Q151=B151,M151,AB152)</f>
        <v>0</v>
      </c>
      <c r="AC151" s="73">
        <f>IF(Q151=B151,N151,AC152)</f>
        <v>0</v>
      </c>
      <c r="AD151" s="73">
        <f>IF(Q151=B151,O151,AD152)</f>
        <v>0</v>
      </c>
    </row>
    <row r="152" spans="4:27" ht="15">
      <c r="D152" s="11"/>
      <c r="Q152" s="19"/>
      <c r="AA152" s="21"/>
    </row>
    <row r="153" spans="4:27" ht="15">
      <c r="D153" s="11"/>
      <c r="Q153" s="19"/>
      <c r="AA153" s="21"/>
    </row>
    <row r="154" spans="4:27" ht="15">
      <c r="D154" s="11"/>
      <c r="Q154" s="19"/>
      <c r="AA154" s="21"/>
    </row>
    <row r="155" spans="4:27" ht="15">
      <c r="D155" s="11"/>
      <c r="Q155" s="19"/>
      <c r="AA155" s="21"/>
    </row>
    <row r="156" spans="4:27" ht="15">
      <c r="D156" s="11"/>
      <c r="Q156" s="19"/>
      <c r="AA156" s="21"/>
    </row>
    <row r="157" spans="4:27" ht="15">
      <c r="D157" s="11"/>
      <c r="Q157" s="19"/>
      <c r="AA157" s="21"/>
    </row>
    <row r="158" spans="4:27" ht="15">
      <c r="D158" s="11"/>
      <c r="Q158" s="19"/>
      <c r="AA158" s="21"/>
    </row>
    <row r="159" spans="4:27" ht="15">
      <c r="D159" s="11"/>
      <c r="Q159" s="19"/>
      <c r="AA159" s="21"/>
    </row>
    <row r="160" spans="4:27" ht="15">
      <c r="D160" s="11"/>
      <c r="Q160" s="19"/>
      <c r="AA160" s="21"/>
    </row>
    <row r="161" spans="4:27" ht="15">
      <c r="D161" s="11"/>
      <c r="Q161" s="19"/>
      <c r="AA161" s="21"/>
    </row>
    <row r="162" spans="4:27" ht="15">
      <c r="D162" s="11"/>
      <c r="Q162" s="19"/>
      <c r="AA162" s="21"/>
    </row>
    <row r="163" spans="4:27" ht="15">
      <c r="D163" s="11"/>
      <c r="Q163" s="19"/>
      <c r="AA163" s="21"/>
    </row>
    <row r="164" spans="4:27" ht="15">
      <c r="D164" s="11"/>
      <c r="Q164" s="19"/>
      <c r="AA164" s="21"/>
    </row>
    <row r="165" spans="4:27" ht="15">
      <c r="D165" s="11"/>
      <c r="Q165" s="19"/>
      <c r="AA165" s="21"/>
    </row>
    <row r="166" spans="4:27" ht="15">
      <c r="D166" s="11"/>
      <c r="Q166" s="19"/>
      <c r="AA166" s="21"/>
    </row>
    <row r="167" spans="4:27" ht="15">
      <c r="D167" s="11"/>
      <c r="Q167" s="19"/>
      <c r="AA167" s="21"/>
    </row>
    <row r="168" spans="4:27" ht="15">
      <c r="D168" s="11"/>
      <c r="Q168" s="19"/>
      <c r="AA168" s="21"/>
    </row>
    <row r="169" spans="4:27" ht="15">
      <c r="D169" s="11"/>
      <c r="Q169" s="19"/>
      <c r="AA169" s="21"/>
    </row>
    <row r="170" spans="4:27" ht="15">
      <c r="D170" s="11"/>
      <c r="Q170" s="19"/>
      <c r="AA170" s="21"/>
    </row>
    <row r="171" spans="17:27" ht="15">
      <c r="Q171" s="19"/>
      <c r="AA171" s="21"/>
    </row>
    <row r="172" spans="17:27" ht="15">
      <c r="Q172" s="19"/>
      <c r="AA172" s="21"/>
    </row>
    <row r="173" spans="17:27" ht="15">
      <c r="Q173" s="19"/>
      <c r="AA173" s="21"/>
    </row>
    <row r="174" spans="17:27" ht="15">
      <c r="Q174" s="19"/>
      <c r="AA174" s="21"/>
    </row>
    <row r="175" spans="17:27" ht="15">
      <c r="Q175" s="19"/>
      <c r="AA175" s="21"/>
    </row>
    <row r="176" spans="17:27" ht="15">
      <c r="Q176" s="19"/>
      <c r="AA176" s="21"/>
    </row>
    <row r="177" spans="17:27" ht="15">
      <c r="Q177" s="19"/>
      <c r="AA177" s="21"/>
    </row>
    <row r="178" spans="17:27" ht="15">
      <c r="Q178" s="19"/>
      <c r="AA178" s="21"/>
    </row>
    <row r="179" spans="17:27" ht="15">
      <c r="Q179" s="19"/>
      <c r="AA179" s="21"/>
    </row>
    <row r="180" spans="17:27" ht="15">
      <c r="Q180" s="19"/>
      <c r="AA180" s="21"/>
    </row>
    <row r="181" spans="17:27" ht="15">
      <c r="Q181" s="19"/>
      <c r="AA181" s="21"/>
    </row>
  </sheetData>
  <mergeCells count="88">
    <mergeCell ref="C27:D27"/>
    <mergeCell ref="C24:D24"/>
    <mergeCell ref="C26:D26"/>
    <mergeCell ref="I13:J13"/>
    <mergeCell ref="B22:D22"/>
    <mergeCell ref="E19:F19"/>
    <mergeCell ref="G18:H18"/>
    <mergeCell ref="C18:D18"/>
    <mergeCell ref="C15:D15"/>
    <mergeCell ref="E15:F15"/>
    <mergeCell ref="F2:N3"/>
    <mergeCell ref="C25:D25"/>
    <mergeCell ref="C5:C6"/>
    <mergeCell ref="C19:D19"/>
    <mergeCell ref="C11:D11"/>
    <mergeCell ref="G11:H11"/>
    <mergeCell ref="E10:F10"/>
    <mergeCell ref="I14:J14"/>
    <mergeCell ref="F66:H66"/>
    <mergeCell ref="I66:K66"/>
    <mergeCell ref="K11:L11"/>
    <mergeCell ref="E16:F16"/>
    <mergeCell ref="I39:I40"/>
    <mergeCell ref="J34:R35"/>
    <mergeCell ref="G14:H14"/>
    <mergeCell ref="O15:P15"/>
    <mergeCell ref="G16:H16"/>
    <mergeCell ref="I15:J15"/>
    <mergeCell ref="B29:H29"/>
    <mergeCell ref="B24:B25"/>
    <mergeCell ref="B26:B27"/>
    <mergeCell ref="K10:L10"/>
    <mergeCell ref="E18:F18"/>
    <mergeCell ref="E11:F11"/>
    <mergeCell ref="G19:H19"/>
    <mergeCell ref="C13:H13"/>
    <mergeCell ref="C14:D14"/>
    <mergeCell ref="G10:H10"/>
    <mergeCell ref="Q5:R5"/>
    <mergeCell ref="Q6:R6"/>
    <mergeCell ref="Q7:R8"/>
    <mergeCell ref="I7:I8"/>
    <mergeCell ref="J7:J8"/>
    <mergeCell ref="K6:L6"/>
    <mergeCell ref="K5:P5"/>
    <mergeCell ref="H5:J5"/>
    <mergeCell ref="M6:N6"/>
    <mergeCell ref="O6:P6"/>
    <mergeCell ref="U66:W66"/>
    <mergeCell ref="Q10:R10"/>
    <mergeCell ref="O14:P14"/>
    <mergeCell ref="O7:P8"/>
    <mergeCell ref="O10:P10"/>
    <mergeCell ref="X66:Z66"/>
    <mergeCell ref="Q11:R11"/>
    <mergeCell ref="N65:O65"/>
    <mergeCell ref="O11:P11"/>
    <mergeCell ref="M11:N11"/>
    <mergeCell ref="M13:N13"/>
    <mergeCell ref="O13:P13"/>
    <mergeCell ref="J36:R38"/>
    <mergeCell ref="I11:J11"/>
    <mergeCell ref="M14:N14"/>
    <mergeCell ref="AC65:AD65"/>
    <mergeCell ref="I29:K30"/>
    <mergeCell ref="I34:I35"/>
    <mergeCell ref="J39:R40"/>
    <mergeCell ref="J31:R33"/>
    <mergeCell ref="I31:I33"/>
    <mergeCell ref="I36:I38"/>
    <mergeCell ref="I16:J16"/>
    <mergeCell ref="M10:N10"/>
    <mergeCell ref="D6:E6"/>
    <mergeCell ref="D7:E8"/>
    <mergeCell ref="K7:L8"/>
    <mergeCell ref="M7:N8"/>
    <mergeCell ref="M15:N15"/>
    <mergeCell ref="G15:H15"/>
    <mergeCell ref="F5:G5"/>
    <mergeCell ref="I10:J10"/>
    <mergeCell ref="D5:E5"/>
    <mergeCell ref="G7:G8"/>
    <mergeCell ref="H7:H8"/>
    <mergeCell ref="B7:B11"/>
    <mergeCell ref="F7:F8"/>
    <mergeCell ref="E14:F14"/>
    <mergeCell ref="C10:D10"/>
    <mergeCell ref="C7:C8"/>
  </mergeCells>
  <printOptions/>
  <pageMargins left="0.53" right="0.56" top="0.23" bottom="0.33" header="0.16" footer="0.2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78"/>
  <sheetViews>
    <sheetView workbookViewId="0" topLeftCell="A40">
      <selection activeCell="R51" sqref="R51"/>
    </sheetView>
  </sheetViews>
  <sheetFormatPr defaultColWidth="9.00390625" defaultRowHeight="14.25"/>
  <cols>
    <col min="1" max="1" width="0.875" style="0" customWidth="1"/>
    <col min="2" max="2" width="2.625" style="0" customWidth="1"/>
    <col min="3" max="15" width="6.625" style="0" customWidth="1"/>
    <col min="16" max="16" width="1.875" style="0" customWidth="1"/>
    <col min="17" max="17" width="6.50390625" style="0" customWidth="1"/>
  </cols>
  <sheetData>
    <row r="1" ht="6.75" customHeight="1"/>
    <row r="2" spans="3:15" ht="15.75">
      <c r="C2" t="s">
        <v>90</v>
      </c>
      <c r="N2" s="98" t="s">
        <v>91</v>
      </c>
      <c r="O2" s="99" t="s">
        <v>92</v>
      </c>
    </row>
    <row r="3" ht="6" customHeight="1"/>
    <row r="4" ht="15.75">
      <c r="C4" s="98" t="s">
        <v>93</v>
      </c>
    </row>
    <row r="5" ht="15.75">
      <c r="C5" s="98" t="s">
        <v>94</v>
      </c>
    </row>
    <row r="6" ht="14.25">
      <c r="C6" t="s">
        <v>95</v>
      </c>
    </row>
    <row r="7" ht="15.75">
      <c r="C7" s="98" t="s">
        <v>96</v>
      </c>
    </row>
    <row r="8" ht="15.75">
      <c r="C8" t="s">
        <v>97</v>
      </c>
    </row>
    <row r="9" ht="15.75">
      <c r="C9" s="98" t="s">
        <v>98</v>
      </c>
    </row>
    <row r="10" spans="4:12" ht="19.5">
      <c r="D10" s="336" t="s">
        <v>99</v>
      </c>
      <c r="E10" s="101">
        <v>6.61</v>
      </c>
      <c r="F10" s="337" t="s">
        <v>100</v>
      </c>
      <c r="G10" s="19"/>
      <c r="H10" s="19"/>
      <c r="I10" s="19"/>
      <c r="J10" s="19"/>
      <c r="K10" s="19"/>
      <c r="L10" s="19"/>
    </row>
    <row r="11" spans="4:12" ht="15.75">
      <c r="D11" s="336"/>
      <c r="E11" s="102"/>
      <c r="F11" s="337"/>
      <c r="G11" s="19"/>
      <c r="H11" s="19"/>
      <c r="I11" s="19"/>
      <c r="J11" s="19"/>
      <c r="K11" s="103"/>
      <c r="L11" s="19"/>
    </row>
    <row r="12" spans="4:12" ht="15.75">
      <c r="D12" s="104"/>
      <c r="E12" s="105" t="s">
        <v>102</v>
      </c>
      <c r="F12" s="106" t="s">
        <v>103</v>
      </c>
      <c r="G12" s="107" t="s">
        <v>104</v>
      </c>
      <c r="H12" s="108"/>
      <c r="I12" s="107"/>
      <c r="J12" s="109"/>
      <c r="K12" s="19"/>
      <c r="L12" s="19"/>
    </row>
    <row r="13" spans="5:10" ht="15">
      <c r="E13" s="27"/>
      <c r="F13" s="106" t="s">
        <v>105</v>
      </c>
      <c r="G13" s="107" t="s">
        <v>106</v>
      </c>
      <c r="H13" s="108"/>
      <c r="I13" s="107"/>
      <c r="J13" s="110"/>
    </row>
    <row r="14" spans="3:10" ht="15.75">
      <c r="C14" s="98" t="s">
        <v>107</v>
      </c>
      <c r="J14" s="111"/>
    </row>
    <row r="15" ht="14.25">
      <c r="C15" t="s">
        <v>108</v>
      </c>
    </row>
    <row r="16" spans="4:8" ht="14.25" customHeight="1">
      <c r="D16" s="336" t="s">
        <v>109</v>
      </c>
      <c r="E16" s="338" t="s">
        <v>110</v>
      </c>
      <c r="F16" s="338"/>
      <c r="G16" s="338"/>
      <c r="H16" s="338"/>
    </row>
    <row r="17" spans="4:8" ht="14.25">
      <c r="D17" s="336"/>
      <c r="E17" s="338"/>
      <c r="F17" s="338"/>
      <c r="G17" s="338"/>
      <c r="H17" s="338"/>
    </row>
    <row r="18" spans="4:10" ht="16.5">
      <c r="D18" s="100"/>
      <c r="E18" s="105" t="s">
        <v>101</v>
      </c>
      <c r="F18" s="106" t="s">
        <v>111</v>
      </c>
      <c r="G18" s="107" t="s">
        <v>112</v>
      </c>
      <c r="H18" s="108"/>
      <c r="I18" s="107"/>
      <c r="J18" s="106"/>
    </row>
    <row r="19" spans="4:10" ht="15">
      <c r="D19" s="100"/>
      <c r="E19" s="112"/>
      <c r="F19" s="106" t="s">
        <v>113</v>
      </c>
      <c r="G19" s="107" t="s">
        <v>114</v>
      </c>
      <c r="H19" s="108"/>
      <c r="I19" s="107"/>
      <c r="J19" s="106"/>
    </row>
    <row r="20" spans="3:10" ht="15.75">
      <c r="C20" s="98" t="s">
        <v>115</v>
      </c>
      <c r="F20" s="106"/>
      <c r="G20" s="107"/>
      <c r="H20" s="108"/>
      <c r="I20" s="107"/>
      <c r="J20" s="106"/>
    </row>
    <row r="21" spans="4:12" ht="15.75">
      <c r="D21" s="333" t="s">
        <v>116</v>
      </c>
      <c r="E21" s="19"/>
      <c r="F21" s="19"/>
      <c r="G21" s="19"/>
      <c r="H21" s="19"/>
      <c r="I21" s="19"/>
      <c r="J21" s="103"/>
      <c r="K21" s="113"/>
      <c r="L21" s="114"/>
    </row>
    <row r="22" spans="4:12" ht="15.75">
      <c r="D22" s="333"/>
      <c r="E22" s="115"/>
      <c r="F22" s="116"/>
      <c r="G22" s="117"/>
      <c r="H22" s="118"/>
      <c r="I22" s="19"/>
      <c r="J22" s="103"/>
      <c r="K22" s="113"/>
      <c r="L22" s="114"/>
    </row>
    <row r="23" spans="4:12" ht="15.75">
      <c r="D23" s="20"/>
      <c r="E23" s="19"/>
      <c r="F23" s="116"/>
      <c r="G23" s="117"/>
      <c r="H23" s="118"/>
      <c r="I23" s="19"/>
      <c r="J23" s="103"/>
      <c r="K23" s="113"/>
      <c r="L23" s="114"/>
    </row>
    <row r="24" spans="4:12" ht="15.75">
      <c r="D24" s="333" t="s">
        <v>117</v>
      </c>
      <c r="E24" s="19"/>
      <c r="F24" s="116"/>
      <c r="G24" s="117"/>
      <c r="H24" s="118"/>
      <c r="I24" s="19"/>
      <c r="J24" s="103"/>
      <c r="K24" s="113"/>
      <c r="L24" s="114"/>
    </row>
    <row r="25" spans="4:12" ht="15.75">
      <c r="D25" s="333"/>
      <c r="E25" s="115"/>
      <c r="F25" s="116"/>
      <c r="G25" s="119"/>
      <c r="H25" s="118"/>
      <c r="I25" s="19"/>
      <c r="J25" s="103"/>
      <c r="K25" s="113"/>
      <c r="L25" s="114"/>
    </row>
    <row r="26" spans="4:13" ht="15.75">
      <c r="D26" s="115"/>
      <c r="E26" s="105" t="s">
        <v>101</v>
      </c>
      <c r="F26" s="106" t="s">
        <v>118</v>
      </c>
      <c r="G26" s="107" t="s">
        <v>119</v>
      </c>
      <c r="H26" s="108"/>
      <c r="I26" s="107"/>
      <c r="J26" s="110"/>
      <c r="K26" s="120"/>
      <c r="L26" s="121"/>
      <c r="M26" s="27"/>
    </row>
    <row r="27" spans="4:13" ht="15.75">
      <c r="D27" s="115"/>
      <c r="E27" s="115"/>
      <c r="F27" s="122" t="s">
        <v>120</v>
      </c>
      <c r="G27" s="123" t="s">
        <v>121</v>
      </c>
      <c r="H27" s="123"/>
      <c r="I27" s="107"/>
      <c r="J27" s="110"/>
      <c r="K27" s="120"/>
      <c r="L27" s="121"/>
      <c r="M27" s="27"/>
    </row>
    <row r="28" spans="4:14" ht="15.75">
      <c r="D28" s="115"/>
      <c r="E28" s="115"/>
      <c r="F28" s="106" t="s">
        <v>122</v>
      </c>
      <c r="G28" s="107" t="s">
        <v>123</v>
      </c>
      <c r="H28" s="108"/>
      <c r="I28" s="107"/>
      <c r="J28" s="110"/>
      <c r="K28" s="120"/>
      <c r="L28" s="121"/>
      <c r="M28" s="27"/>
      <c r="N28" s="27"/>
    </row>
    <row r="29" spans="4:14" ht="15.75">
      <c r="D29" s="115"/>
      <c r="E29" s="115"/>
      <c r="F29" s="106" t="s">
        <v>124</v>
      </c>
      <c r="G29" s="107" t="s">
        <v>125</v>
      </c>
      <c r="H29" s="108"/>
      <c r="I29" s="107"/>
      <c r="J29" s="110"/>
      <c r="K29" s="120"/>
      <c r="L29" s="121"/>
      <c r="M29" s="27"/>
      <c r="N29" s="27"/>
    </row>
    <row r="30" spans="3:15" ht="18.75">
      <c r="C30" s="19"/>
      <c r="D30" s="115"/>
      <c r="E30" s="19"/>
      <c r="F30" s="124" t="s">
        <v>126</v>
      </c>
      <c r="G30" s="125" t="s">
        <v>127</v>
      </c>
      <c r="H30" s="126"/>
      <c r="I30" s="125"/>
      <c r="J30" s="111"/>
      <c r="K30" s="127"/>
      <c r="L30" s="128"/>
      <c r="M30" s="125"/>
      <c r="N30" s="19"/>
      <c r="O30" s="19"/>
    </row>
    <row r="31" spans="3:15" ht="15.75">
      <c r="C31" s="19"/>
      <c r="D31" s="115"/>
      <c r="E31" s="115"/>
      <c r="F31" s="124" t="s">
        <v>105</v>
      </c>
      <c r="G31" s="125" t="s">
        <v>128</v>
      </c>
      <c r="H31" s="126"/>
      <c r="I31" s="125"/>
      <c r="J31" s="111"/>
      <c r="K31" s="127"/>
      <c r="L31" s="128"/>
      <c r="M31" s="125"/>
      <c r="N31" s="19"/>
      <c r="O31" s="19"/>
    </row>
    <row r="32" spans="3:15" ht="18.75">
      <c r="C32" s="19"/>
      <c r="D32" s="115"/>
      <c r="E32" s="115"/>
      <c r="F32" s="124" t="s">
        <v>129</v>
      </c>
      <c r="G32" s="125" t="s">
        <v>130</v>
      </c>
      <c r="H32" s="126"/>
      <c r="I32" s="125"/>
      <c r="J32" s="111"/>
      <c r="K32" s="127"/>
      <c r="L32" s="128"/>
      <c r="M32" s="125"/>
      <c r="N32" s="19"/>
      <c r="O32" s="19"/>
    </row>
    <row r="33" spans="3:15" ht="15.75">
      <c r="C33" s="19"/>
      <c r="D33" s="115"/>
      <c r="E33" s="115"/>
      <c r="F33" s="124"/>
      <c r="G33" s="125"/>
      <c r="H33" s="126"/>
      <c r="I33" s="125"/>
      <c r="J33" s="111"/>
      <c r="K33" s="127"/>
      <c r="L33" s="128"/>
      <c r="M33" s="125"/>
      <c r="N33" s="19"/>
      <c r="O33" s="19"/>
    </row>
    <row r="34" spans="3:15" ht="15.75">
      <c r="C34" s="129" t="s">
        <v>263</v>
      </c>
      <c r="D34" s="115"/>
      <c r="E34" s="115"/>
      <c r="F34" s="124"/>
      <c r="G34" s="125"/>
      <c r="H34" s="126"/>
      <c r="I34" s="125"/>
      <c r="J34" s="111"/>
      <c r="K34" s="127"/>
      <c r="L34" s="128"/>
      <c r="M34" s="125"/>
      <c r="N34" s="19"/>
      <c r="O34" s="19"/>
    </row>
    <row r="35" spans="3:15" ht="3.75" customHeight="1">
      <c r="C35" s="19"/>
      <c r="D35" s="115"/>
      <c r="E35" s="115"/>
      <c r="F35" s="124"/>
      <c r="G35" s="130"/>
      <c r="H35" s="131"/>
      <c r="I35" s="130"/>
      <c r="J35" s="132"/>
      <c r="K35" s="127"/>
      <c r="L35" s="128"/>
      <c r="M35" s="125"/>
      <c r="N35" s="19"/>
      <c r="O35" s="19"/>
    </row>
    <row r="36" spans="3:15" ht="15.75">
      <c r="C36" s="133" t="s">
        <v>131</v>
      </c>
      <c r="D36" s="115"/>
      <c r="E36" s="115"/>
      <c r="F36" s="124"/>
      <c r="G36" s="125"/>
      <c r="H36" s="126"/>
      <c r="I36" s="125"/>
      <c r="J36" s="111"/>
      <c r="L36" s="128"/>
      <c r="M36" s="125"/>
      <c r="N36" s="127"/>
      <c r="O36" s="19"/>
    </row>
    <row r="37" spans="3:15" ht="15.75">
      <c r="C37" s="19"/>
      <c r="D37" s="134"/>
      <c r="E37" s="135"/>
      <c r="F37" s="136" t="s">
        <v>132</v>
      </c>
      <c r="G37" s="213" t="s">
        <v>133</v>
      </c>
      <c r="H37" s="334">
        <v>1</v>
      </c>
      <c r="I37" s="334"/>
      <c r="J37" s="334"/>
      <c r="K37" s="334"/>
      <c r="L37" s="334"/>
      <c r="M37" s="214" t="s">
        <v>134</v>
      </c>
      <c r="N37" s="137"/>
      <c r="O37" s="19"/>
    </row>
    <row r="38" spans="3:15" ht="15.75">
      <c r="C38" s="19"/>
      <c r="D38" s="138"/>
      <c r="F38" s="136" t="s">
        <v>251</v>
      </c>
      <c r="G38" s="213" t="s">
        <v>135</v>
      </c>
      <c r="H38" s="344">
        <v>1</v>
      </c>
      <c r="I38" s="344"/>
      <c r="J38" s="344"/>
      <c r="K38" s="344"/>
      <c r="L38" s="344"/>
      <c r="M38" s="214" t="s">
        <v>136</v>
      </c>
      <c r="N38" s="127"/>
      <c r="O38" s="19"/>
    </row>
    <row r="39" spans="3:15" ht="15.75">
      <c r="C39" s="19"/>
      <c r="D39" s="138"/>
      <c r="E39" s="135"/>
      <c r="F39" s="136" t="s">
        <v>137</v>
      </c>
      <c r="G39" s="213" t="s">
        <v>138</v>
      </c>
      <c r="H39" s="334">
        <v>2.5</v>
      </c>
      <c r="I39" s="334"/>
      <c r="J39" s="334"/>
      <c r="K39" s="334"/>
      <c r="L39" s="334"/>
      <c r="M39" s="214" t="s">
        <v>139</v>
      </c>
      <c r="N39" s="127"/>
      <c r="O39" s="19"/>
    </row>
    <row r="40" spans="3:15" ht="15.75">
      <c r="C40" s="19"/>
      <c r="D40" s="138"/>
      <c r="E40" s="135"/>
      <c r="F40" s="136" t="s">
        <v>248</v>
      </c>
      <c r="G40" s="213" t="s">
        <v>228</v>
      </c>
      <c r="H40" s="334">
        <v>0.0001</v>
      </c>
      <c r="I40" s="334"/>
      <c r="J40" s="213" t="s">
        <v>227</v>
      </c>
      <c r="K40" s="334">
        <v>200</v>
      </c>
      <c r="L40" s="334"/>
      <c r="M40" s="214" t="s">
        <v>141</v>
      </c>
      <c r="N40" s="127"/>
      <c r="O40" s="19"/>
    </row>
    <row r="41" spans="3:15" ht="15.75">
      <c r="C41" s="19"/>
      <c r="D41" s="138"/>
      <c r="E41" s="135"/>
      <c r="F41" s="139" t="s">
        <v>142</v>
      </c>
      <c r="G41" s="215" t="s">
        <v>225</v>
      </c>
      <c r="H41" s="335">
        <v>5</v>
      </c>
      <c r="I41" s="335"/>
      <c r="J41" s="215" t="s">
        <v>226</v>
      </c>
      <c r="K41" s="335">
        <v>0</v>
      </c>
      <c r="L41" s="335"/>
      <c r="M41" s="214" t="s">
        <v>143</v>
      </c>
      <c r="N41" s="113"/>
      <c r="O41" s="19"/>
    </row>
    <row r="42" spans="3:20" ht="17.25">
      <c r="C42" s="19"/>
      <c r="D42" s="138"/>
      <c r="E42" s="135"/>
      <c r="F42" s="136" t="s">
        <v>144</v>
      </c>
      <c r="G42" s="213" t="s">
        <v>145</v>
      </c>
      <c r="H42" s="330">
        <f>3.14*H37*H37/4*H38</f>
        <v>0.785</v>
      </c>
      <c r="I42" s="330"/>
      <c r="J42" s="330"/>
      <c r="K42" s="330"/>
      <c r="L42" s="330"/>
      <c r="M42" s="214" t="s">
        <v>146</v>
      </c>
      <c r="N42" s="140"/>
      <c r="O42" s="19"/>
      <c r="R42" s="98"/>
      <c r="T42" s="98"/>
    </row>
    <row r="43" spans="3:15" ht="18.75">
      <c r="C43" s="19"/>
      <c r="D43" s="138"/>
      <c r="E43" s="135"/>
      <c r="F43" s="141" t="s">
        <v>147</v>
      </c>
      <c r="G43" s="213" t="s">
        <v>229</v>
      </c>
      <c r="H43" s="331">
        <f>66.1/(H40*1000)^0.5</f>
        <v>209.02655333712985</v>
      </c>
      <c r="I43" s="331"/>
      <c r="J43" s="213" t="s">
        <v>230</v>
      </c>
      <c r="K43" s="331">
        <f>66.1/(K40*1000)^0.5</f>
        <v>0.14780409331273608</v>
      </c>
      <c r="L43" s="331"/>
      <c r="M43" s="214" t="s">
        <v>134</v>
      </c>
      <c r="N43" s="19"/>
      <c r="O43" s="19"/>
    </row>
    <row r="44" spans="3:15" ht="18.75">
      <c r="C44" s="19"/>
      <c r="D44" s="138"/>
      <c r="E44" s="135"/>
      <c r="F44" s="136" t="s">
        <v>148</v>
      </c>
      <c r="G44" s="213" t="s">
        <v>231</v>
      </c>
      <c r="H44" s="330">
        <f>IF(((H37/2)-66.1/(H40*1000)^0.5)&lt;0,(H42),(3.14*H37*H37/4-3.14*(H37/2-H43)*(H37/2-H43))*H38)</f>
        <v>0.785</v>
      </c>
      <c r="I44" s="330"/>
      <c r="J44" s="213" t="s">
        <v>232</v>
      </c>
      <c r="K44" s="330">
        <f>IF(((H37/2)-66.1/(K40*1000)^0.5)&lt;0,(H42),(3.14*H37*H37/4-3.14*(H37/2-K43)*(H37/2-K43))*H38)</f>
        <v>0.39550825600199135</v>
      </c>
      <c r="L44" s="330"/>
      <c r="M44" s="214" t="s">
        <v>146</v>
      </c>
      <c r="N44" s="19"/>
      <c r="O44" s="19"/>
    </row>
    <row r="45" spans="3:15" ht="15.75">
      <c r="C45" s="19"/>
      <c r="D45" s="138"/>
      <c r="E45" s="135"/>
      <c r="F45" s="136" t="s">
        <v>149</v>
      </c>
      <c r="G45" s="213" t="s">
        <v>150</v>
      </c>
      <c r="H45" s="332">
        <f>(0.01749*H39/(3.14*H37^2/4))/H38</f>
        <v>0.05570063694267516</v>
      </c>
      <c r="I45" s="332"/>
      <c r="J45" s="332"/>
      <c r="K45" s="332"/>
      <c r="L45" s="332"/>
      <c r="M45" s="214" t="s">
        <v>260</v>
      </c>
      <c r="N45" s="339">
        <f>(0.01749*H39/(K44*1))</f>
        <v>0.11055395010459616</v>
      </c>
      <c r="O45" s="339"/>
    </row>
    <row r="46" spans="2:15" ht="18.75">
      <c r="B46" s="19"/>
      <c r="C46" s="142"/>
      <c r="D46" s="138"/>
      <c r="E46" s="135"/>
      <c r="F46" s="136" t="s">
        <v>152</v>
      </c>
      <c r="G46" s="213" t="s">
        <v>233</v>
      </c>
      <c r="H46" s="332">
        <f>IF(((H37/2)-66.1/(H40*1000)^0.5)&lt;0,0.01749*H39/(H38*3.14*H37^2/4),N46)</f>
        <v>0.05570063694267516</v>
      </c>
      <c r="I46" s="332"/>
      <c r="J46" s="213" t="s">
        <v>234</v>
      </c>
      <c r="K46" s="332">
        <f>IF(((H37/2)-66.1/(K40*1000)^0.5)&lt;0,0.01749*H39/(H38*3.14*H37^2/4),N45)</f>
        <v>0.11055395010459616</v>
      </c>
      <c r="L46" s="332"/>
      <c r="M46" s="214" t="s">
        <v>151</v>
      </c>
      <c r="N46" s="339">
        <f>(0.01749*H39/(H44*1))</f>
        <v>0.05570063694267516</v>
      </c>
      <c r="O46" s="339"/>
    </row>
    <row r="47" spans="2:15" ht="4.5" customHeight="1">
      <c r="B47" s="19"/>
      <c r="C47" s="142"/>
      <c r="D47" s="138"/>
      <c r="E47" s="135"/>
      <c r="F47" s="136"/>
      <c r="G47" s="130"/>
      <c r="H47" s="130"/>
      <c r="I47" s="130"/>
      <c r="J47" s="130"/>
      <c r="K47" s="130"/>
      <c r="L47" s="130"/>
      <c r="M47" s="130"/>
      <c r="N47" s="211"/>
      <c r="O47" s="211"/>
    </row>
    <row r="48" spans="3:15" ht="17.25">
      <c r="C48" s="19"/>
      <c r="D48" s="138"/>
      <c r="E48" s="138"/>
      <c r="F48" s="139" t="s">
        <v>235</v>
      </c>
      <c r="G48" s="213" t="s">
        <v>236</v>
      </c>
      <c r="H48" s="340">
        <f>H41/H44</f>
        <v>6.369426751592356</v>
      </c>
      <c r="I48" s="340"/>
      <c r="J48" s="213" t="s">
        <v>237</v>
      </c>
      <c r="K48" s="340">
        <f>K41/K44</f>
        <v>0</v>
      </c>
      <c r="L48" s="340"/>
      <c r="M48" s="214" t="s">
        <v>153</v>
      </c>
      <c r="O48" s="19"/>
    </row>
    <row r="49" spans="3:15" ht="15.75">
      <c r="C49" s="19"/>
      <c r="D49" s="138"/>
      <c r="E49" s="138"/>
      <c r="F49" s="139" t="s">
        <v>238</v>
      </c>
      <c r="G49" s="213" t="s">
        <v>239</v>
      </c>
      <c r="H49" s="330">
        <f>H41*H41*H45</f>
        <v>1.392515923566879</v>
      </c>
      <c r="I49" s="330"/>
      <c r="J49" s="213" t="s">
        <v>240</v>
      </c>
      <c r="K49" s="330">
        <f>K41*K41*K46</f>
        <v>0</v>
      </c>
      <c r="L49" s="330"/>
      <c r="M49" s="214" t="s">
        <v>154</v>
      </c>
      <c r="N49" s="19"/>
      <c r="O49" s="19"/>
    </row>
    <row r="50" spans="3:15" ht="15.75">
      <c r="C50" s="19"/>
      <c r="D50" s="138"/>
      <c r="E50" s="138"/>
      <c r="F50" s="136" t="s">
        <v>140</v>
      </c>
      <c r="G50" s="213" t="s">
        <v>241</v>
      </c>
      <c r="H50" s="341">
        <f>H40</f>
        <v>0.0001</v>
      </c>
      <c r="I50" s="341"/>
      <c r="J50" s="213" t="s">
        <v>227</v>
      </c>
      <c r="K50" s="341">
        <f>K40</f>
        <v>200</v>
      </c>
      <c r="L50" s="341"/>
      <c r="M50" s="214" t="s">
        <v>141</v>
      </c>
      <c r="N50" s="19"/>
      <c r="O50" s="19"/>
    </row>
    <row r="51" spans="3:15" ht="15.75">
      <c r="C51" s="19"/>
      <c r="D51" s="138"/>
      <c r="E51" s="138"/>
      <c r="F51" s="139" t="s">
        <v>242</v>
      </c>
      <c r="G51" s="213" t="s">
        <v>155</v>
      </c>
      <c r="H51" s="330">
        <f>H49+K49</f>
        <v>1.392515923566879</v>
      </c>
      <c r="I51" s="330"/>
      <c r="J51" s="330"/>
      <c r="K51" s="330"/>
      <c r="L51" s="330"/>
      <c r="M51" s="214" t="s">
        <v>154</v>
      </c>
      <c r="N51" s="19"/>
      <c r="O51" s="19"/>
    </row>
    <row r="52" spans="3:15" ht="18.75">
      <c r="C52" s="19"/>
      <c r="D52" s="138"/>
      <c r="E52" s="138"/>
      <c r="F52" s="139" t="s">
        <v>156</v>
      </c>
      <c r="G52" s="213" t="s">
        <v>157</v>
      </c>
      <c r="H52" s="331">
        <f>3.14*(H37+0)/10*H38*100*H39</f>
        <v>78.5</v>
      </c>
      <c r="I52" s="331"/>
      <c r="J52" s="331"/>
      <c r="K52" s="331"/>
      <c r="L52" s="331"/>
      <c r="M52" s="214" t="s">
        <v>158</v>
      </c>
      <c r="N52" s="19"/>
      <c r="O52" s="19"/>
    </row>
    <row r="53" spans="3:15" ht="17.25">
      <c r="C53" s="19"/>
      <c r="D53" s="138"/>
      <c r="E53" s="138"/>
      <c r="F53" s="139" t="s">
        <v>159</v>
      </c>
      <c r="G53" s="213" t="s">
        <v>160</v>
      </c>
      <c r="H53" s="331">
        <f>H51/H52</f>
        <v>0.017739056351170433</v>
      </c>
      <c r="I53" s="331"/>
      <c r="J53" s="331"/>
      <c r="K53" s="331"/>
      <c r="L53" s="331"/>
      <c r="M53" s="214" t="s">
        <v>161</v>
      </c>
      <c r="N53" s="19"/>
      <c r="O53" s="19"/>
    </row>
    <row r="54" spans="3:15" ht="16.5">
      <c r="C54" s="19"/>
      <c r="D54" s="138"/>
      <c r="E54" s="138"/>
      <c r="F54" s="218" t="s">
        <v>162</v>
      </c>
      <c r="G54" s="215" t="s">
        <v>163</v>
      </c>
      <c r="H54" s="342">
        <f>(0.55*(((H53+0.03781)/(5.13*10^-12))^0.25-293)+0.45*(H53/(2.7*10^-4))^0.8333)/2</f>
        <v>15.493007460456266</v>
      </c>
      <c r="I54" s="342"/>
      <c r="J54" s="342"/>
      <c r="K54" s="342"/>
      <c r="L54" s="342"/>
      <c r="M54" s="216" t="s">
        <v>164</v>
      </c>
      <c r="N54" s="19"/>
      <c r="O54" s="19"/>
    </row>
    <row r="55" spans="3:15" ht="7.5" customHeight="1">
      <c r="C55" s="19"/>
      <c r="D55" s="138"/>
      <c r="E55" s="138"/>
      <c r="G55" s="130"/>
      <c r="H55" s="130"/>
      <c r="I55" s="130"/>
      <c r="J55" s="130"/>
      <c r="K55" s="130"/>
      <c r="L55" s="130"/>
      <c r="M55" s="130"/>
      <c r="N55" s="19"/>
      <c r="O55" s="19"/>
    </row>
    <row r="56" spans="3:15" ht="14.25" customHeight="1">
      <c r="C56" s="19"/>
      <c r="D56" s="138"/>
      <c r="E56" s="138"/>
      <c r="F56" s="139" t="s">
        <v>165</v>
      </c>
      <c r="N56" s="211"/>
      <c r="O56" s="19"/>
    </row>
    <row r="57" spans="3:15" ht="14.25" customHeight="1">
      <c r="C57" s="19"/>
      <c r="D57" s="115"/>
      <c r="E57" s="115"/>
      <c r="F57" s="144" t="s">
        <v>166</v>
      </c>
      <c r="G57" s="213" t="s">
        <v>167</v>
      </c>
      <c r="H57" s="343">
        <f>H54+20</f>
        <v>35.49300746045627</v>
      </c>
      <c r="I57" s="343"/>
      <c r="J57" s="343"/>
      <c r="K57" s="343"/>
      <c r="L57" s="343"/>
      <c r="M57" s="216" t="s">
        <v>164</v>
      </c>
      <c r="N57" s="19"/>
      <c r="O57" s="19"/>
    </row>
    <row r="58" spans="3:15" ht="15.75">
      <c r="C58" s="19"/>
      <c r="D58" s="115"/>
      <c r="E58" s="115"/>
      <c r="F58" s="144" t="s">
        <v>168</v>
      </c>
      <c r="G58" s="213" t="s">
        <v>167</v>
      </c>
      <c r="H58" s="343">
        <f>H54+40</f>
        <v>55.49300746045627</v>
      </c>
      <c r="I58" s="343"/>
      <c r="J58" s="343"/>
      <c r="K58" s="343"/>
      <c r="L58" s="343"/>
      <c r="M58" s="216" t="s">
        <v>164</v>
      </c>
      <c r="N58" s="19"/>
      <c r="O58" s="19"/>
    </row>
    <row r="59" spans="3:15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5" spans="3:15" ht="15.75">
      <c r="C65" s="217" t="s">
        <v>244</v>
      </c>
      <c r="D65" s="173" t="s">
        <v>243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</row>
    <row r="66" spans="4:15" ht="15.75">
      <c r="D66" s="173" t="s">
        <v>246</v>
      </c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</row>
    <row r="67" spans="3:15" ht="15.75">
      <c r="C67" s="212" t="s">
        <v>247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</row>
    <row r="68" spans="3:15" ht="15.75">
      <c r="C68" s="212" t="s">
        <v>249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</row>
    <row r="69" spans="3:15" ht="15.75">
      <c r="C69" s="212" t="s">
        <v>250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</row>
    <row r="70" spans="3:15" ht="15.75">
      <c r="C70" s="217" t="s">
        <v>245</v>
      </c>
      <c r="D70" s="173" t="s">
        <v>256</v>
      </c>
      <c r="E70" s="173"/>
      <c r="F70" s="173"/>
      <c r="G70" s="173"/>
      <c r="H70" s="173"/>
      <c r="I70" s="173"/>
      <c r="J70" s="173"/>
      <c r="K70" s="212"/>
      <c r="L70" s="212"/>
      <c r="M70" s="212"/>
      <c r="N70" s="212"/>
      <c r="O70" s="212"/>
    </row>
    <row r="71" spans="3:15" ht="15.75">
      <c r="C71" s="219" t="s">
        <v>257</v>
      </c>
      <c r="D71" s="173" t="s">
        <v>252</v>
      </c>
      <c r="E71" s="173"/>
      <c r="F71" s="173"/>
      <c r="G71" s="173"/>
      <c r="H71" s="173"/>
      <c r="I71" s="173"/>
      <c r="J71" s="173"/>
      <c r="K71" s="212"/>
      <c r="L71" s="212"/>
      <c r="M71" s="212"/>
      <c r="N71" s="212"/>
      <c r="O71" s="212"/>
    </row>
    <row r="72" spans="3:15" ht="15.75">
      <c r="C72" s="212" t="s">
        <v>254</v>
      </c>
      <c r="D72" s="173"/>
      <c r="E72" s="173"/>
      <c r="F72" s="173"/>
      <c r="G72" s="173"/>
      <c r="H72" s="173"/>
      <c r="I72" s="173"/>
      <c r="J72" s="173"/>
      <c r="K72" s="212"/>
      <c r="L72" s="212"/>
      <c r="M72" s="212"/>
      <c r="N72" s="212"/>
      <c r="O72" s="212"/>
    </row>
    <row r="73" spans="3:15" ht="15.75">
      <c r="C73" s="212" t="s">
        <v>253</v>
      </c>
      <c r="D73" s="173"/>
      <c r="E73" s="173"/>
      <c r="F73" s="173"/>
      <c r="G73" s="173"/>
      <c r="H73" s="173"/>
      <c r="I73" s="173"/>
      <c r="J73" s="173"/>
      <c r="K73" s="212"/>
      <c r="L73" s="212"/>
      <c r="M73" s="212"/>
      <c r="N73" s="212"/>
      <c r="O73" s="212"/>
    </row>
    <row r="74" spans="3:15" ht="15.75">
      <c r="C74" s="173"/>
      <c r="D74" s="212" t="s">
        <v>255</v>
      </c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</row>
    <row r="75" spans="3:11" ht="15.75">
      <c r="C75" s="219" t="s">
        <v>258</v>
      </c>
      <c r="D75" s="173" t="s">
        <v>259</v>
      </c>
      <c r="K75" s="173"/>
    </row>
    <row r="76" spans="3:11" ht="16.5">
      <c r="C76" s="212" t="s">
        <v>262</v>
      </c>
      <c r="K76" s="173"/>
    </row>
    <row r="77" spans="3:11" ht="15.75">
      <c r="C77" s="212" t="s">
        <v>261</v>
      </c>
      <c r="K77" s="173"/>
    </row>
    <row r="78" ht="14.25">
      <c r="K78" s="173"/>
    </row>
  </sheetData>
  <mergeCells count="35">
    <mergeCell ref="H54:L54"/>
    <mergeCell ref="H57:L57"/>
    <mergeCell ref="H58:L58"/>
    <mergeCell ref="H37:L37"/>
    <mergeCell ref="H38:L38"/>
    <mergeCell ref="H39:L39"/>
    <mergeCell ref="K43:L43"/>
    <mergeCell ref="K44:L44"/>
    <mergeCell ref="K40:L40"/>
    <mergeCell ref="K41:L41"/>
    <mergeCell ref="N45:O45"/>
    <mergeCell ref="K48:L48"/>
    <mergeCell ref="K49:L49"/>
    <mergeCell ref="K50:L50"/>
    <mergeCell ref="H45:L45"/>
    <mergeCell ref="K46:L46"/>
    <mergeCell ref="N46:O46"/>
    <mergeCell ref="H48:I48"/>
    <mergeCell ref="H49:I49"/>
    <mergeCell ref="H50:I50"/>
    <mergeCell ref="D10:D11"/>
    <mergeCell ref="F10:F11"/>
    <mergeCell ref="D16:D17"/>
    <mergeCell ref="E16:H17"/>
    <mergeCell ref="D21:D22"/>
    <mergeCell ref="D24:D25"/>
    <mergeCell ref="H40:I40"/>
    <mergeCell ref="H41:I41"/>
    <mergeCell ref="H51:L51"/>
    <mergeCell ref="H52:L52"/>
    <mergeCell ref="H53:L53"/>
    <mergeCell ref="H42:L42"/>
    <mergeCell ref="H43:I43"/>
    <mergeCell ref="H44:I44"/>
    <mergeCell ref="H46:I46"/>
  </mergeCells>
  <printOptions/>
  <pageMargins left="0.42" right="0.33" top="0.43" bottom="0.64" header="0.3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7">
      <selection activeCell="J18" sqref="J18"/>
    </sheetView>
  </sheetViews>
  <sheetFormatPr defaultColWidth="9.00390625" defaultRowHeight="14.25"/>
  <cols>
    <col min="1" max="1" width="1.625" style="173" customWidth="1"/>
    <col min="2" max="2" width="1.875" style="173" customWidth="1"/>
    <col min="3" max="3" width="3.50390625" style="173" customWidth="1"/>
    <col min="4" max="12" width="9.00390625" style="173" customWidth="1"/>
    <col min="13" max="13" width="2.125" style="173" customWidth="1"/>
    <col min="14" max="14" width="1.625" style="173" customWidth="1"/>
    <col min="15" max="16384" width="9.00390625" style="173" customWidth="1"/>
  </cols>
  <sheetData>
    <row r="1" ht="13.5"/>
    <row r="2" spans="2:13" ht="15">
      <c r="B2" s="175"/>
      <c r="C2" s="181"/>
      <c r="D2" s="182"/>
      <c r="E2" s="182"/>
      <c r="F2" s="183"/>
      <c r="G2" s="184"/>
      <c r="H2" s="185"/>
      <c r="I2" s="184"/>
      <c r="J2" s="186"/>
      <c r="K2" s="187"/>
      <c r="L2" s="188"/>
      <c r="M2" s="189"/>
    </row>
    <row r="3" spans="2:13" ht="15">
      <c r="B3" s="162"/>
      <c r="C3" s="146" t="s">
        <v>208</v>
      </c>
      <c r="D3" s="138"/>
      <c r="E3" s="138"/>
      <c r="F3" s="124"/>
      <c r="G3" s="125"/>
      <c r="H3" s="126"/>
      <c r="I3" s="125"/>
      <c r="J3" s="111"/>
      <c r="K3" s="127"/>
      <c r="L3" s="128"/>
      <c r="M3" s="145"/>
    </row>
    <row r="4" spans="2:13" ht="15">
      <c r="B4" s="162"/>
      <c r="C4" s="146"/>
      <c r="D4" s="138"/>
      <c r="E4" s="138"/>
      <c r="F4" s="124"/>
      <c r="G4" s="125"/>
      <c r="H4" s="126"/>
      <c r="I4" s="125"/>
      <c r="J4" s="111"/>
      <c r="K4" s="127"/>
      <c r="L4" s="128"/>
      <c r="M4" s="145"/>
    </row>
    <row r="5" spans="2:13" ht="15">
      <c r="B5" s="162"/>
      <c r="C5" s="147" t="s">
        <v>170</v>
      </c>
      <c r="D5" s="135"/>
      <c r="E5" s="138"/>
      <c r="F5" s="124"/>
      <c r="G5" s="125"/>
      <c r="H5" s="126"/>
      <c r="I5" s="125"/>
      <c r="J5" s="111"/>
      <c r="K5" s="127"/>
      <c r="L5" s="128"/>
      <c r="M5" s="145"/>
    </row>
    <row r="6" spans="2:13" ht="15">
      <c r="B6" s="162"/>
      <c r="C6" s="135"/>
      <c r="D6" s="134"/>
      <c r="E6" s="135"/>
      <c r="F6" s="136" t="s">
        <v>171</v>
      </c>
      <c r="G6" s="124" t="s">
        <v>172</v>
      </c>
      <c r="H6" s="359">
        <v>2</v>
      </c>
      <c r="I6" s="359"/>
      <c r="J6" s="126" t="s">
        <v>173</v>
      </c>
      <c r="K6" s="127"/>
      <c r="L6" s="128"/>
      <c r="M6" s="145"/>
    </row>
    <row r="7" spans="2:13" ht="15">
      <c r="B7" s="162"/>
      <c r="C7" s="135"/>
      <c r="D7" s="138"/>
      <c r="E7" s="135"/>
      <c r="F7" s="136" t="s">
        <v>174</v>
      </c>
      <c r="G7" s="124" t="s">
        <v>175</v>
      </c>
      <c r="H7" s="359">
        <v>2</v>
      </c>
      <c r="I7" s="359"/>
      <c r="J7" s="126" t="s">
        <v>176</v>
      </c>
      <c r="K7" s="127"/>
      <c r="L7" s="128"/>
      <c r="M7" s="145"/>
    </row>
    <row r="8" spans="2:13" ht="15">
      <c r="B8" s="162"/>
      <c r="C8" s="135"/>
      <c r="D8" s="138"/>
      <c r="E8" s="135"/>
      <c r="F8" s="136" t="s">
        <v>177</v>
      </c>
      <c r="G8" s="124" t="s">
        <v>178</v>
      </c>
      <c r="H8" s="359">
        <v>0.01</v>
      </c>
      <c r="I8" s="359"/>
      <c r="J8" s="126" t="s">
        <v>179</v>
      </c>
      <c r="K8" s="148"/>
      <c r="L8" s="149"/>
      <c r="M8" s="150"/>
    </row>
    <row r="9" spans="2:13" ht="18.75">
      <c r="B9" s="162"/>
      <c r="C9" s="135"/>
      <c r="D9" s="138"/>
      <c r="E9" s="135"/>
      <c r="F9" s="141" t="s">
        <v>180</v>
      </c>
      <c r="G9" s="124" t="s">
        <v>181</v>
      </c>
      <c r="H9" s="351">
        <f>66.1/(H8*1000)^0.5</f>
        <v>20.902655333712985</v>
      </c>
      <c r="I9" s="351"/>
      <c r="J9" s="126" t="s">
        <v>173</v>
      </c>
      <c r="K9" s="148"/>
      <c r="L9" s="149"/>
      <c r="M9" s="150"/>
    </row>
    <row r="10" spans="2:13" ht="15">
      <c r="B10" s="162"/>
      <c r="C10" s="135"/>
      <c r="D10" s="138"/>
      <c r="E10" s="135"/>
      <c r="F10" s="136" t="s">
        <v>182</v>
      </c>
      <c r="G10" s="124" t="s">
        <v>183</v>
      </c>
      <c r="H10" s="351">
        <f>0.01749*H7/(3.14*H6^2/4)</f>
        <v>0.01114012738853503</v>
      </c>
      <c r="I10" s="351"/>
      <c r="J10" s="126" t="s">
        <v>184</v>
      </c>
      <c r="K10" s="148"/>
      <c r="L10" s="149"/>
      <c r="M10" s="150"/>
    </row>
    <row r="11" spans="2:13" ht="18.75">
      <c r="B11" s="162"/>
      <c r="C11" s="135"/>
      <c r="D11" s="138"/>
      <c r="E11" s="135"/>
      <c r="F11" s="136" t="s">
        <v>185</v>
      </c>
      <c r="G11" s="124" t="s">
        <v>186</v>
      </c>
      <c r="H11" s="352">
        <f>IF(((H6/2)-66.1/(H8*1000)^0.5)&lt;0,0.01749*H7/(3.14*H6^2/4),K11)</f>
        <v>0.01114012738853503</v>
      </c>
      <c r="I11" s="352"/>
      <c r="J11" s="126" t="s">
        <v>169</v>
      </c>
      <c r="K11" s="353">
        <f>(0.01749*H7/((3.14*((H6/2)^2-((H6/2)-(6.61*10/(H8*1000)^0.5))^2))))</f>
        <v>-2.8194596391129984E-05</v>
      </c>
      <c r="L11" s="353"/>
      <c r="M11" s="151"/>
    </row>
    <row r="12" spans="2:13" ht="15">
      <c r="B12" s="162"/>
      <c r="C12" s="135"/>
      <c r="D12" s="138"/>
      <c r="E12" s="138"/>
      <c r="F12" s="143"/>
      <c r="G12" s="28"/>
      <c r="H12" s="152"/>
      <c r="I12" s="135"/>
      <c r="J12" s="153"/>
      <c r="K12" s="154"/>
      <c r="L12" s="155"/>
      <c r="M12" s="151"/>
    </row>
    <row r="13" spans="2:13" ht="14.25">
      <c r="B13" s="162"/>
      <c r="C13" s="156" t="s">
        <v>187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51"/>
    </row>
    <row r="14" spans="2:13" ht="13.5">
      <c r="B14" s="162"/>
      <c r="C14" s="135"/>
      <c r="D14" s="135"/>
      <c r="E14" s="135"/>
      <c r="F14" s="135"/>
      <c r="G14" s="135"/>
      <c r="H14" s="157"/>
      <c r="I14" s="135"/>
      <c r="J14" s="135"/>
      <c r="K14" s="135"/>
      <c r="L14" s="135"/>
      <c r="M14" s="151"/>
    </row>
    <row r="15" spans="2:13" ht="15">
      <c r="B15" s="162"/>
      <c r="C15" s="135"/>
      <c r="D15" s="158" t="s">
        <v>188</v>
      </c>
      <c r="E15" s="159"/>
      <c r="F15" s="159"/>
      <c r="G15" s="160" t="s">
        <v>189</v>
      </c>
      <c r="H15" s="357">
        <f>H6</f>
        <v>2</v>
      </c>
      <c r="I15" s="358"/>
      <c r="J15" s="358"/>
      <c r="K15" s="358"/>
      <c r="L15" s="358"/>
      <c r="M15" s="151"/>
    </row>
    <row r="16" spans="2:13" ht="13.5">
      <c r="B16" s="162"/>
      <c r="C16" s="135"/>
      <c r="D16" s="162" t="s">
        <v>190</v>
      </c>
      <c r="E16" s="135"/>
      <c r="F16" s="135"/>
      <c r="G16" s="151"/>
      <c r="H16" s="161">
        <v>1</v>
      </c>
      <c r="I16" s="161">
        <v>2</v>
      </c>
      <c r="J16" s="161">
        <v>3</v>
      </c>
      <c r="K16" s="161">
        <v>4</v>
      </c>
      <c r="L16" s="161">
        <v>5</v>
      </c>
      <c r="M16" s="151"/>
    </row>
    <row r="17" spans="2:13" ht="18">
      <c r="B17" s="162"/>
      <c r="C17" s="135"/>
      <c r="D17" s="345" t="s">
        <v>191</v>
      </c>
      <c r="E17" s="346"/>
      <c r="F17" s="346"/>
      <c r="G17" s="160" t="s">
        <v>192</v>
      </c>
      <c r="H17" s="163">
        <f>$H$6^2*3.14/4/H16</f>
        <v>3.14</v>
      </c>
      <c r="I17" s="163">
        <f>$H$6^2*3.14/4/I16</f>
        <v>1.57</v>
      </c>
      <c r="J17" s="163">
        <f>$H$6^2*3.14/4/J16</f>
        <v>1.0466666666666666</v>
      </c>
      <c r="K17" s="163">
        <f>$H$6^2*3.14/4/K16</f>
        <v>0.785</v>
      </c>
      <c r="L17" s="163">
        <f>$H$6^2*3.14/4/L16</f>
        <v>0.628</v>
      </c>
      <c r="M17" s="151"/>
    </row>
    <row r="18" spans="2:13" ht="15">
      <c r="B18" s="162"/>
      <c r="C18" s="135"/>
      <c r="D18" s="345" t="s">
        <v>193</v>
      </c>
      <c r="E18" s="346"/>
      <c r="F18" s="346"/>
      <c r="G18" s="164" t="s">
        <v>194</v>
      </c>
      <c r="H18" s="163">
        <f>(H17/3.14)^0.5*2</f>
        <v>2</v>
      </c>
      <c r="I18" s="163">
        <f>(I17/3.14)^0.5*2</f>
        <v>1.4142135623730951</v>
      </c>
      <c r="J18" s="163">
        <f>(J17/3.14)^0.5*2</f>
        <v>1.1547005383792515</v>
      </c>
      <c r="K18" s="163">
        <f>(K17/3.14)^0.5*2</f>
        <v>1</v>
      </c>
      <c r="L18" s="163">
        <f>(L17/3.14)^0.5*2</f>
        <v>0.8944271909999159</v>
      </c>
      <c r="M18" s="151"/>
    </row>
    <row r="19" spans="2:13" ht="15">
      <c r="B19" s="162"/>
      <c r="C19" s="135"/>
      <c r="D19" s="345" t="s">
        <v>195</v>
      </c>
      <c r="E19" s="346"/>
      <c r="F19" s="346"/>
      <c r="G19" s="165" t="s">
        <v>196</v>
      </c>
      <c r="H19" s="350">
        <f>H7</f>
        <v>2</v>
      </c>
      <c r="I19" s="350"/>
      <c r="J19" s="350"/>
      <c r="K19" s="350"/>
      <c r="L19" s="350"/>
      <c r="M19" s="151"/>
    </row>
    <row r="20" spans="2:13" ht="15">
      <c r="B20" s="162"/>
      <c r="C20" s="135"/>
      <c r="D20" s="345" t="s">
        <v>177</v>
      </c>
      <c r="E20" s="346"/>
      <c r="F20" s="346"/>
      <c r="G20" s="165" t="s">
        <v>197</v>
      </c>
      <c r="H20" s="354">
        <f>H8</f>
        <v>0.01</v>
      </c>
      <c r="I20" s="355"/>
      <c r="J20" s="355"/>
      <c r="K20" s="355"/>
      <c r="L20" s="356"/>
      <c r="M20" s="151"/>
    </row>
    <row r="21" spans="2:13" ht="14.25">
      <c r="B21" s="162"/>
      <c r="C21" s="135"/>
      <c r="D21" s="345" t="s">
        <v>198</v>
      </c>
      <c r="E21" s="346"/>
      <c r="F21" s="346"/>
      <c r="G21" s="166" t="s">
        <v>184</v>
      </c>
      <c r="H21" s="167">
        <f>0.01749*$H$19/H17</f>
        <v>0.01114012738853503</v>
      </c>
      <c r="I21" s="167">
        <f>0.01749*$H$19/I17</f>
        <v>0.02228025477707006</v>
      </c>
      <c r="J21" s="167">
        <f>0.01749*$H$19/J17</f>
        <v>0.03342038216560509</v>
      </c>
      <c r="K21" s="167">
        <f>0.01749*$H$19/K17</f>
        <v>0.04456050955414012</v>
      </c>
      <c r="L21" s="167">
        <f>0.01749*$H$19/L17</f>
        <v>0.05570063694267516</v>
      </c>
      <c r="M21" s="151"/>
    </row>
    <row r="22" spans="2:13" ht="15">
      <c r="B22" s="162"/>
      <c r="C22" s="135"/>
      <c r="D22" s="345" t="s">
        <v>199</v>
      </c>
      <c r="E22" s="346"/>
      <c r="F22" s="346"/>
      <c r="G22" s="165" t="s">
        <v>184</v>
      </c>
      <c r="H22" s="167">
        <f>H21/H16</f>
        <v>0.01114012738853503</v>
      </c>
      <c r="I22" s="167">
        <f>I21/I16</f>
        <v>0.01114012738853503</v>
      </c>
      <c r="J22" s="167">
        <f>J21/J16</f>
        <v>0.01114012738853503</v>
      </c>
      <c r="K22" s="167">
        <f>K21/K16</f>
        <v>0.01114012738853503</v>
      </c>
      <c r="L22" s="167">
        <f>L21/L16</f>
        <v>0.011140127388535032</v>
      </c>
      <c r="M22" s="151"/>
    </row>
    <row r="23" spans="2:13" ht="14.25">
      <c r="B23" s="162"/>
      <c r="C23" s="135"/>
      <c r="D23" s="345" t="s">
        <v>200</v>
      </c>
      <c r="E23" s="346"/>
      <c r="F23" s="346"/>
      <c r="G23" s="168" t="s">
        <v>169</v>
      </c>
      <c r="H23" s="167">
        <f>IF(H27&lt;0,0.01749*$H$19/H17,0.01749*$H$19/(3.14*((H18/2)^2-(H18/2-66.1/($H$8*1000)^0.5)^2)))</f>
        <v>0.01114012738853503</v>
      </c>
      <c r="I23" s="167">
        <f>IF(I27&lt;0,0.01749*$H$19/I17,0.01749*$H$19/(3.14*((I18/2)^2-(I18/2-66.1/($H$8*1000)^0.5)^2)))</f>
        <v>0.02228025477707006</v>
      </c>
      <c r="J23" s="167">
        <f>IF(J27&lt;0,0.01749*$H$19/J17,0.01749*$H$19/(3.14*((J18/2)^2-(J18/2-66.1/($H$8*1000)^0.5)^2)))</f>
        <v>0.03342038216560509</v>
      </c>
      <c r="K23" s="167">
        <f>IF(K27&lt;0,0.01749*$H$19/K17,0.01749*$H$19/(3.14*((K18/2)^2-(K18/2-66.1/($H$8*1000)^0.5)^2)))</f>
        <v>0.04456050955414012</v>
      </c>
      <c r="L23" s="167">
        <f>IF(L27&lt;0,0.01749*$H$19/L17,0.01749*$H$19/(3.14*((L18/2)^2-(L18/2-66.1/($H$8*1000)^0.5)^2)))</f>
        <v>0.05570063694267516</v>
      </c>
      <c r="M23" s="151"/>
    </row>
    <row r="24" spans="2:13" ht="14.25">
      <c r="B24" s="162"/>
      <c r="C24" s="135"/>
      <c r="D24" s="345" t="s">
        <v>201</v>
      </c>
      <c r="E24" s="346"/>
      <c r="F24" s="346"/>
      <c r="G24" s="168" t="s">
        <v>169</v>
      </c>
      <c r="H24" s="167">
        <f>H23/H16</f>
        <v>0.01114012738853503</v>
      </c>
      <c r="I24" s="167">
        <f>I23/I16</f>
        <v>0.01114012738853503</v>
      </c>
      <c r="J24" s="167">
        <f>J23/J16</f>
        <v>0.01114012738853503</v>
      </c>
      <c r="K24" s="167">
        <f>K23/K16</f>
        <v>0.01114012738853503</v>
      </c>
      <c r="L24" s="167">
        <f>L23/L16</f>
        <v>0.011140127388535032</v>
      </c>
      <c r="M24" s="151"/>
    </row>
    <row r="25" spans="2:13" ht="15">
      <c r="B25" s="162"/>
      <c r="C25" s="135"/>
      <c r="D25" s="347" t="s">
        <v>202</v>
      </c>
      <c r="E25" s="348"/>
      <c r="F25" s="348"/>
      <c r="G25" s="349"/>
      <c r="H25" s="169">
        <f>1-H24/$H$24</f>
        <v>0</v>
      </c>
      <c r="I25" s="169">
        <f>1-I24/$H$24</f>
        <v>0</v>
      </c>
      <c r="J25" s="169">
        <f>1-J24/$H$24</f>
        <v>0</v>
      </c>
      <c r="K25" s="169">
        <f>1-K24/$H$24</f>
        <v>0</v>
      </c>
      <c r="L25" s="169">
        <f>1-L24/$H$24</f>
        <v>0</v>
      </c>
      <c r="M25" s="151"/>
    </row>
    <row r="26" spans="2:13" ht="13.5">
      <c r="B26" s="162"/>
      <c r="C26" s="135"/>
      <c r="D26" s="135"/>
      <c r="E26" s="135"/>
      <c r="F26" s="135"/>
      <c r="G26" s="135"/>
      <c r="H26" s="170"/>
      <c r="I26" s="170"/>
      <c r="J26" s="170"/>
      <c r="K26" s="170"/>
      <c r="L26" s="170"/>
      <c r="M26" s="151"/>
    </row>
    <row r="27" spans="2:13" ht="15">
      <c r="B27" s="162"/>
      <c r="C27" s="135"/>
      <c r="D27" s="135"/>
      <c r="E27" s="135"/>
      <c r="F27" s="135"/>
      <c r="G27" s="171"/>
      <c r="H27" s="172">
        <f>H18/2-66.1/($H$8*1000)^0.5</f>
        <v>-19.902655333712985</v>
      </c>
      <c r="I27" s="172">
        <f>I18/2-66.1/($H$8*1000)^0.5</f>
        <v>-20.19554855252644</v>
      </c>
      <c r="J27" s="172">
        <f>J18/2-66.1/($H$8*1000)^0.5</f>
        <v>-20.32530506452336</v>
      </c>
      <c r="K27" s="172">
        <f>K18/2-66.1/($H$8*1000)^0.5</f>
        <v>-20.402655333712985</v>
      </c>
      <c r="L27" s="172">
        <f>L18/2-66.1/($H$8*1000)^0.5</f>
        <v>-20.45544173821303</v>
      </c>
      <c r="M27" s="151"/>
    </row>
    <row r="28" spans="2:13" ht="14.25">
      <c r="B28" s="162"/>
      <c r="C28" s="176" t="s">
        <v>203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51"/>
    </row>
    <row r="29" spans="2:13" ht="15">
      <c r="B29" s="162"/>
      <c r="C29" s="135"/>
      <c r="D29" s="171" t="s">
        <v>204</v>
      </c>
      <c r="E29" s="135"/>
      <c r="F29" s="135"/>
      <c r="G29" s="135"/>
      <c r="H29" s="135"/>
      <c r="I29" s="135"/>
      <c r="J29" s="135"/>
      <c r="K29" s="135"/>
      <c r="L29" s="135"/>
      <c r="M29" s="151"/>
    </row>
    <row r="30" spans="2:13" ht="15">
      <c r="B30" s="162"/>
      <c r="C30" s="135"/>
      <c r="D30" s="135" t="s">
        <v>205</v>
      </c>
      <c r="E30" s="135"/>
      <c r="F30" s="135"/>
      <c r="G30" s="135"/>
      <c r="H30" s="135"/>
      <c r="I30" s="135"/>
      <c r="J30" s="135"/>
      <c r="K30" s="135"/>
      <c r="L30" s="135"/>
      <c r="M30" s="151"/>
    </row>
    <row r="31" spans="2:13" ht="15">
      <c r="B31" s="162"/>
      <c r="C31" s="135"/>
      <c r="D31" s="135" t="s">
        <v>206</v>
      </c>
      <c r="E31" s="135"/>
      <c r="F31" s="135"/>
      <c r="G31" s="135"/>
      <c r="H31" s="135"/>
      <c r="I31" s="135"/>
      <c r="J31" s="135"/>
      <c r="K31" s="135"/>
      <c r="L31" s="135"/>
      <c r="M31" s="151"/>
    </row>
    <row r="32" spans="2:13" ht="15">
      <c r="B32" s="162"/>
      <c r="C32" s="135"/>
      <c r="D32" s="135" t="s">
        <v>207</v>
      </c>
      <c r="E32" s="135"/>
      <c r="F32" s="135"/>
      <c r="G32" s="135"/>
      <c r="H32" s="135"/>
      <c r="I32" s="135"/>
      <c r="J32" s="135"/>
      <c r="K32" s="135"/>
      <c r="L32" s="135"/>
      <c r="M32" s="151"/>
    </row>
    <row r="33" spans="2:13" ht="7.5" customHeight="1">
      <c r="B33" s="177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8"/>
    </row>
    <row r="34" spans="5:12" ht="9" customHeight="1">
      <c r="E34" s="135"/>
      <c r="F34" s="171"/>
      <c r="G34" s="135"/>
      <c r="H34" s="135"/>
      <c r="I34" s="135"/>
      <c r="J34" s="135"/>
      <c r="K34" s="135"/>
      <c r="L34" s="135"/>
    </row>
    <row r="36" spans="3:15" ht="14.25">
      <c r="C36" s="179"/>
      <c r="D36"/>
      <c r="E36"/>
      <c r="F36"/>
      <c r="G36"/>
      <c r="H36"/>
      <c r="I36"/>
      <c r="J36"/>
      <c r="K36"/>
      <c r="L36"/>
      <c r="M36"/>
      <c r="N36"/>
      <c r="O36"/>
    </row>
    <row r="37" spans="3:15" ht="14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4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4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4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4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4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4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5.75">
      <c r="C44" s="98"/>
      <c r="D44"/>
      <c r="E44"/>
      <c r="F44"/>
      <c r="G44"/>
      <c r="H44"/>
      <c r="I44"/>
      <c r="J44"/>
      <c r="K44"/>
      <c r="L44"/>
      <c r="M44"/>
      <c r="N44"/>
      <c r="O44"/>
    </row>
    <row r="45" spans="3:15" ht="15.75">
      <c r="C45" s="98"/>
      <c r="D45"/>
      <c r="E45"/>
      <c r="F45"/>
      <c r="G45"/>
      <c r="H45"/>
      <c r="I45" s="98"/>
      <c r="J45" s="98"/>
      <c r="K45"/>
      <c r="L45"/>
      <c r="M45"/>
      <c r="N45"/>
      <c r="O45"/>
    </row>
    <row r="46" spans="3:15" ht="15.75">
      <c r="C46" s="98"/>
      <c r="D46"/>
      <c r="E46"/>
      <c r="F46"/>
      <c r="G46"/>
      <c r="H46"/>
      <c r="I46"/>
      <c r="J46"/>
      <c r="K46"/>
      <c r="L46"/>
      <c r="M46"/>
      <c r="N46"/>
      <c r="O46"/>
    </row>
    <row r="47" spans="3:15" ht="15.75">
      <c r="C47" s="98"/>
      <c r="D47"/>
      <c r="E47"/>
      <c r="F47"/>
      <c r="G47"/>
      <c r="H47"/>
      <c r="I47" s="180"/>
      <c r="J47" s="98"/>
      <c r="K47"/>
      <c r="L47"/>
      <c r="M47"/>
      <c r="N47"/>
      <c r="O47"/>
    </row>
    <row r="48" spans="3:15" ht="15.75">
      <c r="C48" s="98"/>
      <c r="D48"/>
      <c r="E48"/>
      <c r="F48"/>
      <c r="G48"/>
      <c r="H48"/>
      <c r="I48"/>
      <c r="J48" s="98"/>
      <c r="K48"/>
      <c r="L48"/>
      <c r="M48"/>
      <c r="N48"/>
      <c r="O48"/>
    </row>
    <row r="49" spans="3:15" ht="15.75">
      <c r="C49" s="98"/>
      <c r="D49"/>
      <c r="E49"/>
      <c r="F49"/>
      <c r="G49"/>
      <c r="H49"/>
      <c r="I49"/>
      <c r="J49"/>
      <c r="K49"/>
      <c r="L49"/>
      <c r="M49"/>
      <c r="N49"/>
      <c r="O49"/>
    </row>
    <row r="50" spans="3:15" ht="15.75">
      <c r="C50" s="98"/>
      <c r="D50"/>
      <c r="E50"/>
      <c r="F50"/>
      <c r="G50"/>
      <c r="H50"/>
      <c r="I50"/>
      <c r="J50"/>
      <c r="K50"/>
      <c r="L50"/>
      <c r="M50"/>
      <c r="N50"/>
      <c r="O50"/>
    </row>
    <row r="51" spans="3:15" ht="15.75">
      <c r="C51"/>
      <c r="D51"/>
      <c r="E51"/>
      <c r="F51" s="98"/>
      <c r="G51"/>
      <c r="H51"/>
      <c r="I51"/>
      <c r="J51" s="98"/>
      <c r="K51"/>
      <c r="N51"/>
      <c r="O51"/>
    </row>
    <row r="52" spans="3:15" ht="15.75">
      <c r="C52"/>
      <c r="D52"/>
      <c r="E52"/>
      <c r="F52" s="98"/>
      <c r="G52"/>
      <c r="H52"/>
      <c r="I52"/>
      <c r="J52" s="98"/>
      <c r="K52"/>
      <c r="N52"/>
      <c r="O52"/>
    </row>
    <row r="53" spans="3:15" ht="15.75">
      <c r="C53" s="98"/>
      <c r="D53"/>
      <c r="E53"/>
      <c r="F53" s="98"/>
      <c r="G53"/>
      <c r="H53"/>
      <c r="I53"/>
      <c r="J53" s="98"/>
      <c r="K53"/>
      <c r="N53"/>
      <c r="O53"/>
    </row>
    <row r="54" spans="3:15" ht="15.75">
      <c r="C54" s="98"/>
      <c r="D54"/>
      <c r="E54"/>
      <c r="F54"/>
      <c r="G54"/>
      <c r="H54"/>
      <c r="I54"/>
      <c r="J54"/>
      <c r="K54"/>
      <c r="L54"/>
      <c r="M54"/>
      <c r="N54"/>
      <c r="O54"/>
    </row>
    <row r="55" spans="3:15" ht="15.75">
      <c r="C55" s="98"/>
      <c r="D55"/>
      <c r="E55"/>
      <c r="F55"/>
      <c r="G55"/>
      <c r="H55"/>
      <c r="I55"/>
      <c r="J55"/>
      <c r="K55"/>
      <c r="L55"/>
      <c r="M55"/>
      <c r="N55"/>
      <c r="O55"/>
    </row>
    <row r="56" spans="3:15" ht="15.75">
      <c r="C56" s="98"/>
      <c r="D56"/>
      <c r="E56"/>
      <c r="F56"/>
      <c r="G56"/>
      <c r="H56"/>
      <c r="I56"/>
      <c r="J56"/>
      <c r="K56"/>
      <c r="L56"/>
      <c r="M56"/>
      <c r="N56"/>
      <c r="O56"/>
    </row>
    <row r="57" spans="3:15" ht="15.75">
      <c r="C57" s="98"/>
      <c r="D57"/>
      <c r="E57"/>
      <c r="F57"/>
      <c r="G57"/>
      <c r="H57"/>
      <c r="I57"/>
      <c r="J57"/>
      <c r="K57"/>
      <c r="L57"/>
      <c r="M57"/>
      <c r="N57"/>
      <c r="O57"/>
    </row>
  </sheetData>
  <mergeCells count="19">
    <mergeCell ref="H6:I6"/>
    <mergeCell ref="H7:I7"/>
    <mergeCell ref="H8:I8"/>
    <mergeCell ref="H9:I9"/>
    <mergeCell ref="H10:I10"/>
    <mergeCell ref="H11:I11"/>
    <mergeCell ref="K11:L11"/>
    <mergeCell ref="H20:L20"/>
    <mergeCell ref="H15:L15"/>
    <mergeCell ref="D17:F17"/>
    <mergeCell ref="D18:F18"/>
    <mergeCell ref="D19:F19"/>
    <mergeCell ref="H19:L19"/>
    <mergeCell ref="D23:F23"/>
    <mergeCell ref="D24:F24"/>
    <mergeCell ref="D25:G25"/>
    <mergeCell ref="D20:F20"/>
    <mergeCell ref="D21:F21"/>
    <mergeCell ref="D22:F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2006-10-13T06:54:33Z</cp:lastPrinted>
  <dcterms:created xsi:type="dcterms:W3CDTF">1996-12-17T01:32:42Z</dcterms:created>
  <dcterms:modified xsi:type="dcterms:W3CDTF">2008-07-07T01:28:58Z</dcterms:modified>
  <cp:category/>
  <cp:version/>
  <cp:contentType/>
  <cp:contentStatus/>
</cp:coreProperties>
</file>