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<sst xmlns="http://schemas.openxmlformats.org/spreadsheetml/2006/main" count="134" uniqueCount="98">
  <si>
    <t>反激变压器设计软件</t>
  </si>
  <si>
    <t>单位</t>
  </si>
  <si>
    <t>v</t>
  </si>
  <si>
    <t>输入最低AC电压</t>
  </si>
  <si>
    <t>输入最低DC电压</t>
  </si>
  <si>
    <t xml:space="preserve"> 输入最高AC电压</t>
  </si>
  <si>
    <t>输入最高DC电压</t>
  </si>
  <si>
    <t>单位</t>
  </si>
  <si>
    <t>V</t>
  </si>
  <si>
    <t>输出DC电压</t>
  </si>
  <si>
    <t>A</t>
  </si>
  <si>
    <t>IC工作电压</t>
  </si>
  <si>
    <t>效率</t>
  </si>
  <si>
    <t>F工作频率</t>
  </si>
  <si>
    <t>△B</t>
  </si>
  <si>
    <t>T</t>
  </si>
  <si>
    <t>KHZ</t>
  </si>
  <si>
    <t>K设计系数</t>
  </si>
  <si>
    <t>PT传输功率</t>
  </si>
  <si>
    <t>W</t>
  </si>
  <si>
    <t>输出功率</t>
  </si>
  <si>
    <t>mT</t>
  </si>
  <si>
    <t>Bs</t>
  </si>
  <si>
    <t>Br</t>
  </si>
  <si>
    <t>Bm</t>
  </si>
  <si>
    <t>J电流密度</t>
  </si>
  <si>
    <t>A/C㎡</t>
  </si>
  <si>
    <t>范围（300—500）</t>
  </si>
  <si>
    <t>Ku绕组系数</t>
  </si>
  <si>
    <t>范围0.2—0.5</t>
  </si>
  <si>
    <t>Ap=Aw*Ae</t>
  </si>
  <si>
    <t>C㎡×C㎡</t>
  </si>
  <si>
    <t>估算临界电流Iob</t>
  </si>
  <si>
    <t>取值</t>
  </si>
  <si>
    <t>范围0.65—0.85</t>
  </si>
  <si>
    <t>Vf二极管压降</t>
  </si>
  <si>
    <t>Dmax</t>
  </si>
  <si>
    <t>Ae</t>
  </si>
  <si>
    <t>Aw</t>
  </si>
  <si>
    <t>Ap</t>
  </si>
  <si>
    <r>
      <t>m</t>
    </r>
    <r>
      <rPr>
        <sz val="10.5"/>
        <rFont val="宋体"/>
        <family val="0"/>
      </rPr>
      <t>㎡</t>
    </r>
  </si>
  <si>
    <t>求变压器匝比n</t>
  </si>
  <si>
    <t>Vs</t>
  </si>
  <si>
    <t>变压器匝比</t>
  </si>
  <si>
    <t>取整数</t>
  </si>
  <si>
    <t>取大数降低铁损，但铜损会增加</t>
  </si>
  <si>
    <t>验证Dmax</t>
  </si>
  <si>
    <t>求CCM/DCM临电流△Isb</t>
  </si>
  <si>
    <t>计算次级电感Ls</t>
  </si>
  <si>
    <t>TS</t>
  </si>
  <si>
    <t>单位</t>
  </si>
  <si>
    <t>uH</t>
  </si>
  <si>
    <t>初级电感LP</t>
  </si>
  <si>
    <t>此电感量为临界电感，若需电路工作于CCM可增大此电感量，若需电路工作于DCM则可适当调小此电感量</t>
  </si>
  <si>
    <t>求CCM临界时副边峰值电流△isp</t>
  </si>
  <si>
    <t>求CCM临界时原边峰值电流△Ipp</t>
  </si>
  <si>
    <t>A</t>
  </si>
  <si>
    <t>确定NP</t>
  </si>
  <si>
    <t>因计算结果为分数匝，考虑兼顾原，副边绕组取整数，使变压器一，二次绕组有相同的安匝值故调整</t>
  </si>
  <si>
    <t>NP</t>
  </si>
  <si>
    <t>OR</t>
  </si>
  <si>
    <t>考虑在设定匝比时取大数已有铜损增加为平衡Pfe铁损和PCU铜损在此取小数</t>
  </si>
  <si>
    <t>NP</t>
  </si>
  <si>
    <t>NS</t>
  </si>
  <si>
    <t>NVCC</t>
  </si>
  <si>
    <t>计算初级线径Awp</t>
  </si>
  <si>
    <t>J取</t>
  </si>
  <si>
    <t>3A/m㎡OR5A/m㎡</t>
  </si>
  <si>
    <t>这里取</t>
  </si>
  <si>
    <t>计算次级线径Aws</t>
  </si>
  <si>
    <t>计可绕性及趋肤效应，采用多线并绕，单线不应大于直径不应大于0.4，0.4的线径其面积为0.126m㎡</t>
  </si>
  <si>
    <t>计算反射电压VR</t>
  </si>
  <si>
    <t>单位TS</t>
  </si>
  <si>
    <t>单位mm</t>
  </si>
  <si>
    <t>Ipk</t>
  </si>
  <si>
    <t>原边电感LP</t>
  </si>
  <si>
    <t>Mh</t>
  </si>
  <si>
    <t>Dmin</t>
  </si>
  <si>
    <t>验证最小磁通密度</t>
  </si>
  <si>
    <t>验证最大磁通密度</t>
  </si>
  <si>
    <t>宽电压输入85—264时</t>
  </si>
  <si>
    <t>VR为70—110V</t>
  </si>
  <si>
    <t>VR=Dcmin*Dmax/(1-Dmax)</t>
  </si>
  <si>
    <t>Dmax=N*Vs/(DCmin+N*Vs)</t>
  </si>
  <si>
    <t>N=DCmin/Vs*[Dmax/(1-Dmax)]</t>
  </si>
  <si>
    <t>△Isb=2*Iob/(1-Dmax)</t>
  </si>
  <si>
    <t>Ls=Vs*(1-Dmax)*Ts/△Isb</t>
  </si>
  <si>
    <t>Lp=N*N*Ls</t>
  </si>
  <si>
    <t>输出DC电流Iomax</t>
  </si>
  <si>
    <t>△isp=Iomax/(1-Dmax)+△Isb/2</t>
  </si>
  <si>
    <t>△Ipp=△isp/N</t>
  </si>
  <si>
    <t>NP=Lp*△Ipp/(△B*Ae)</t>
  </si>
  <si>
    <t>计算磁芯气隙lg</t>
  </si>
  <si>
    <t>lg=NP*NP*4*3.14*Ae/10000000/Lp</t>
  </si>
  <si>
    <t>△B=Bm*0.6</t>
  </si>
  <si>
    <t>△BMax验证</t>
  </si>
  <si>
    <t>初级电感LP</t>
  </si>
  <si>
    <t>Uh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</si>
</sst>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00000000_ "/>
    <numFmt numFmtId="181" formatCode="0.000000_ "/>
  </numFmts>
  <fonts count="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Times New Roman"/>
      <family val="1"/>
    </font>
    <font>
      <sz val="10.5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workbookViewId="0" topLeftCell="A1">
      <selection activeCell="B69" sqref="B69"/>
    </sheetView>
  </sheetViews>
  <sheetFormatPr defaultColWidth="9.00390625" defaultRowHeight="14.25"/>
  <cols>
    <col min="1" max="1" width="20.375" style="1" customWidth="1"/>
    <col min="2" max="2" width="12.375" style="1" customWidth="1"/>
    <col min="3" max="3" width="10.75390625" style="1" customWidth="1"/>
    <col min="4" max="4" width="10.50390625" style="1" customWidth="1"/>
    <col min="5" max="16384" width="9.00390625" style="1" customWidth="1"/>
  </cols>
  <sheetData>
    <row r="1" spans="1:8" ht="14.25">
      <c r="A1" s="8" t="s">
        <v>0</v>
      </c>
      <c r="B1" s="8"/>
      <c r="C1" s="8"/>
      <c r="D1" s="8"/>
      <c r="E1" s="8"/>
      <c r="F1" s="8"/>
      <c r="G1" s="8"/>
      <c r="H1" s="8"/>
    </row>
    <row r="2" spans="1:8" ht="14.25">
      <c r="A2" s="8"/>
      <c r="B2" s="8"/>
      <c r="C2" s="8"/>
      <c r="D2" s="8"/>
      <c r="E2" s="8"/>
      <c r="F2" s="8"/>
      <c r="G2" s="8"/>
      <c r="H2" s="8"/>
    </row>
    <row r="3" spans="1:6" ht="14.25">
      <c r="A3" s="1" t="s">
        <v>3</v>
      </c>
      <c r="B3" s="4">
        <v>90</v>
      </c>
      <c r="C3" s="1" t="s">
        <v>1</v>
      </c>
      <c r="D3" s="1" t="s">
        <v>2</v>
      </c>
      <c r="E3" s="1">
        <v>1.414</v>
      </c>
      <c r="F3" s="1">
        <v>20</v>
      </c>
    </row>
    <row r="4" spans="1:2" ht="14.25">
      <c r="A4" s="1" t="s">
        <v>4</v>
      </c>
      <c r="B4" s="1">
        <f>B3*E3-F3</f>
        <v>107.25999999999999</v>
      </c>
    </row>
    <row r="6" spans="1:6" ht="14.25">
      <c r="A6" s="1" t="s">
        <v>5</v>
      </c>
      <c r="B6" s="4">
        <v>264</v>
      </c>
      <c r="C6" s="1" t="s">
        <v>7</v>
      </c>
      <c r="D6" s="1" t="s">
        <v>8</v>
      </c>
      <c r="E6" s="1">
        <v>1.414</v>
      </c>
      <c r="F6" s="1">
        <v>20</v>
      </c>
    </row>
    <row r="7" spans="1:2" ht="14.25">
      <c r="A7" s="1" t="s">
        <v>6</v>
      </c>
      <c r="B7" s="1">
        <f>B6*E6-F6</f>
        <v>353.296</v>
      </c>
    </row>
    <row r="9" spans="1:4" ht="14.25">
      <c r="A9" s="1" t="s">
        <v>9</v>
      </c>
      <c r="B9" s="4">
        <v>19</v>
      </c>
      <c r="C9" s="1" t="s">
        <v>7</v>
      </c>
      <c r="D9" s="1" t="s">
        <v>8</v>
      </c>
    </row>
    <row r="10" spans="1:4" ht="14.25">
      <c r="A10" s="1" t="s">
        <v>88</v>
      </c>
      <c r="B10" s="4">
        <v>3.16</v>
      </c>
      <c r="C10" s="1" t="s">
        <v>7</v>
      </c>
      <c r="D10" s="1" t="s">
        <v>10</v>
      </c>
    </row>
    <row r="11" spans="1:4" ht="14.25">
      <c r="A11" s="1" t="s">
        <v>20</v>
      </c>
      <c r="B11" s="1">
        <f>B9*B10</f>
        <v>60.040000000000006</v>
      </c>
      <c r="C11" s="1" t="s">
        <v>7</v>
      </c>
      <c r="D11" s="1" t="s">
        <v>19</v>
      </c>
    </row>
    <row r="12" spans="1:4" ht="14.25">
      <c r="A12" s="1" t="s">
        <v>35</v>
      </c>
      <c r="B12" s="4">
        <v>0.6</v>
      </c>
      <c r="C12" s="1" t="s">
        <v>7</v>
      </c>
      <c r="D12" s="1" t="s">
        <v>8</v>
      </c>
    </row>
    <row r="13" spans="1:2" ht="14.25">
      <c r="A13" s="1" t="s">
        <v>42</v>
      </c>
      <c r="B13" s="1">
        <f>B9+B12</f>
        <v>19.6</v>
      </c>
    </row>
    <row r="15" spans="1:9" ht="14.25">
      <c r="A15" s="1" t="s">
        <v>71</v>
      </c>
      <c r="B15" s="1">
        <f>B4*B49/(1-B49)</f>
        <v>98.00000000000001</v>
      </c>
      <c r="C15" s="8" t="s">
        <v>80</v>
      </c>
      <c r="D15" s="8"/>
      <c r="E15" s="8" t="s">
        <v>81</v>
      </c>
      <c r="F15" s="8"/>
      <c r="G15" s="8" t="s">
        <v>82</v>
      </c>
      <c r="H15" s="8"/>
      <c r="I15" s="8"/>
    </row>
    <row r="17" spans="1:4" ht="14.25">
      <c r="A17" s="1" t="s">
        <v>11</v>
      </c>
      <c r="B17" s="4">
        <v>12</v>
      </c>
      <c r="C17" s="1" t="s">
        <v>7</v>
      </c>
      <c r="D17" s="1" t="s">
        <v>8</v>
      </c>
    </row>
    <row r="19" spans="1:2" ht="14.25">
      <c r="A19" s="1" t="s">
        <v>12</v>
      </c>
      <c r="B19" s="4">
        <v>0.83</v>
      </c>
    </row>
    <row r="21" spans="1:2" ht="14.25">
      <c r="A21" s="1" t="s">
        <v>17</v>
      </c>
      <c r="B21" s="1">
        <v>0.88</v>
      </c>
    </row>
    <row r="23" spans="1:4" ht="14.25">
      <c r="A23" s="1" t="s">
        <v>13</v>
      </c>
      <c r="B23" s="4">
        <v>65</v>
      </c>
      <c r="C23" s="1" t="s">
        <v>7</v>
      </c>
      <c r="D23" s="1" t="s">
        <v>16</v>
      </c>
    </row>
    <row r="24" spans="1:2" ht="14.25">
      <c r="A24" s="1" t="s">
        <v>49</v>
      </c>
      <c r="B24" s="5">
        <f>1/(B23*1000)</f>
        <v>1.5384615384615384E-05</v>
      </c>
    </row>
    <row r="25" spans="1:2" ht="14.25">
      <c r="A25" s="1" t="s">
        <v>36</v>
      </c>
      <c r="B25" s="4">
        <v>0.45</v>
      </c>
    </row>
    <row r="27" spans="1:4" ht="14.25">
      <c r="A27" s="1" t="s">
        <v>22</v>
      </c>
      <c r="B27" s="4">
        <v>390</v>
      </c>
      <c r="C27" s="1" t="s">
        <v>7</v>
      </c>
      <c r="D27" s="1" t="s">
        <v>21</v>
      </c>
    </row>
    <row r="28" spans="1:4" ht="14.25">
      <c r="A28" s="1" t="s">
        <v>23</v>
      </c>
      <c r="B28" s="4">
        <v>60</v>
      </c>
      <c r="C28" s="1" t="s">
        <v>7</v>
      </c>
      <c r="D28" s="1" t="s">
        <v>21</v>
      </c>
    </row>
    <row r="29" spans="1:4" ht="14.25">
      <c r="A29" s="1" t="s">
        <v>24</v>
      </c>
      <c r="B29" s="1">
        <f>B27-B28</f>
        <v>330</v>
      </c>
      <c r="C29" s="1" t="s">
        <v>7</v>
      </c>
      <c r="D29" s="1" t="s">
        <v>21</v>
      </c>
    </row>
    <row r="30" spans="1:11" ht="14.25">
      <c r="A30" s="1" t="s">
        <v>14</v>
      </c>
      <c r="B30" s="1">
        <f>B29*0.6/1000</f>
        <v>0.198</v>
      </c>
      <c r="C30" s="1" t="s">
        <v>7</v>
      </c>
      <c r="D30" s="1" t="s">
        <v>15</v>
      </c>
      <c r="I30" s="8" t="s">
        <v>94</v>
      </c>
      <c r="J30" s="8"/>
      <c r="K30" s="8"/>
    </row>
    <row r="32" spans="1:4" ht="14.25">
      <c r="A32" s="1" t="s">
        <v>18</v>
      </c>
      <c r="B32" s="1">
        <f>B11/B19+B11</f>
        <v>132.37734939759036</v>
      </c>
      <c r="C32" s="1" t="s">
        <v>7</v>
      </c>
      <c r="D32" s="1" t="s">
        <v>19</v>
      </c>
    </row>
    <row r="33" spans="7:9" ht="14.25">
      <c r="G33" s="8" t="s">
        <v>95</v>
      </c>
      <c r="H33" s="8"/>
      <c r="I33" s="1">
        <f>B55*C61/(B72*B39)</f>
        <v>0.21013197100521516</v>
      </c>
    </row>
    <row r="35" spans="1:6" ht="14.25">
      <c r="A35" s="1" t="s">
        <v>25</v>
      </c>
      <c r="B35" s="4">
        <v>400</v>
      </c>
      <c r="C35" s="1" t="s">
        <v>7</v>
      </c>
      <c r="D35" s="1" t="s">
        <v>26</v>
      </c>
      <c r="E35" s="8" t="s">
        <v>27</v>
      </c>
      <c r="F35" s="8"/>
    </row>
    <row r="36" spans="1:6" ht="14.25">
      <c r="A36" s="1" t="s">
        <v>28</v>
      </c>
      <c r="B36" s="4">
        <v>0.2</v>
      </c>
      <c r="E36" s="8" t="s">
        <v>29</v>
      </c>
      <c r="F36" s="8"/>
    </row>
    <row r="38" spans="1:4" ht="14.25">
      <c r="A38" s="1" t="s">
        <v>30</v>
      </c>
      <c r="B38" s="1">
        <f>B32*10000/(2*B30*B23*1000*B35*B36)</f>
        <v>0.642858145870194</v>
      </c>
      <c r="C38" s="1" t="s">
        <v>7</v>
      </c>
      <c r="D38" s="1" t="s">
        <v>31</v>
      </c>
    </row>
    <row r="39" spans="1:4" ht="14.25">
      <c r="A39" s="1" t="s">
        <v>37</v>
      </c>
      <c r="B39" s="1">
        <v>70.3</v>
      </c>
      <c r="C39" s="1" t="s">
        <v>7</v>
      </c>
      <c r="D39" s="2" t="s">
        <v>40</v>
      </c>
    </row>
    <row r="40" spans="1:4" ht="14.25">
      <c r="A40" s="1" t="s">
        <v>38</v>
      </c>
      <c r="B40" s="1">
        <v>125.3</v>
      </c>
      <c r="C40" s="1" t="s">
        <v>7</v>
      </c>
      <c r="D40" s="2" t="s">
        <v>40</v>
      </c>
    </row>
    <row r="41" spans="1:4" ht="14.25">
      <c r="A41" s="1" t="s">
        <v>39</v>
      </c>
      <c r="B41" s="1">
        <f>B39*B40/10000</f>
        <v>0.8808590000000001</v>
      </c>
      <c r="C41" s="1" t="s">
        <v>7</v>
      </c>
      <c r="D41" s="1" t="s">
        <v>31</v>
      </c>
    </row>
    <row r="43" spans="1:6" ht="14.25">
      <c r="A43" s="1" t="s">
        <v>32</v>
      </c>
      <c r="B43" s="1">
        <f>B10*D43</f>
        <v>2.5280000000000005</v>
      </c>
      <c r="C43" s="1" t="s">
        <v>33</v>
      </c>
      <c r="D43" s="4">
        <v>0.8</v>
      </c>
      <c r="E43" s="8" t="s">
        <v>34</v>
      </c>
      <c r="F43" s="8"/>
    </row>
    <row r="45" spans="1:4" ht="14.25">
      <c r="A45" s="1" t="s">
        <v>41</v>
      </c>
      <c r="B45" s="1">
        <f>B4/B13</f>
        <v>5.472448979591836</v>
      </c>
      <c r="D45" s="1">
        <f>B25/(1-B25)</f>
        <v>0.8181818181818181</v>
      </c>
    </row>
    <row r="47" spans="1:12" ht="14.25">
      <c r="A47" s="1" t="s">
        <v>43</v>
      </c>
      <c r="B47" s="1">
        <f>B45*D45</f>
        <v>4.477458256029684</v>
      </c>
      <c r="C47" s="1" t="s">
        <v>44</v>
      </c>
      <c r="D47" s="6">
        <v>5</v>
      </c>
      <c r="E47" s="8" t="s">
        <v>45</v>
      </c>
      <c r="F47" s="8"/>
      <c r="G47" s="8"/>
      <c r="H47" s="8"/>
      <c r="I47" s="8" t="s">
        <v>84</v>
      </c>
      <c r="J47" s="8"/>
      <c r="K47" s="8"/>
      <c r="L47" s="8"/>
    </row>
    <row r="49" spans="1:12" ht="14.25">
      <c r="A49" s="1" t="s">
        <v>46</v>
      </c>
      <c r="B49" s="1">
        <f>D47*B13/(B4+D47*B13)</f>
        <v>0.47744324271655464</v>
      </c>
      <c r="D49" s="8" t="s">
        <v>78</v>
      </c>
      <c r="E49" s="8"/>
      <c r="F49" s="1">
        <f>B4*B49/B69/B39/B23/1000*1000000</f>
        <v>0.18678397422685797</v>
      </c>
      <c r="I49" s="8" t="s">
        <v>83</v>
      </c>
      <c r="J49" s="8"/>
      <c r="K49" s="8"/>
      <c r="L49" s="8"/>
    </row>
    <row r="50" spans="1:6" ht="14.25">
      <c r="A50" s="1" t="s">
        <v>77</v>
      </c>
      <c r="B50" s="1">
        <f>D47*B13/(B7+D47*B13)</f>
        <v>0.21715237892646955</v>
      </c>
      <c r="D50" s="8" t="s">
        <v>79</v>
      </c>
      <c r="E50" s="8"/>
      <c r="F50" s="1">
        <f>B7*B50/B69/B39/B23/1000*1000000</f>
        <v>0.27982298159975927</v>
      </c>
    </row>
    <row r="51" spans="5:6" ht="14.25">
      <c r="E51" s="1" t="s">
        <v>74</v>
      </c>
      <c r="F51" s="1">
        <f>3*B11/2/B19/B4/B25</f>
        <v>2.24803746030177</v>
      </c>
    </row>
    <row r="52" spans="1:12" ht="14.25">
      <c r="A52" s="1" t="s">
        <v>47</v>
      </c>
      <c r="B52" s="1">
        <f>2*B43/(1-B49)</f>
        <v>9.675504008950218</v>
      </c>
      <c r="I52" s="8" t="s">
        <v>85</v>
      </c>
      <c r="J52" s="8"/>
      <c r="K52" s="8"/>
      <c r="L52" s="8"/>
    </row>
    <row r="53" spans="5:8" ht="14.25">
      <c r="E53" s="8" t="s">
        <v>75</v>
      </c>
      <c r="F53" s="8"/>
      <c r="G53" s="1">
        <f>B25*B4/B23/1000/F51*1000</f>
        <v>0.3303188865320556</v>
      </c>
      <c r="H53" s="1" t="s">
        <v>76</v>
      </c>
    </row>
    <row r="54" spans="1:12" ht="14.25">
      <c r="A54" s="1" t="s">
        <v>48</v>
      </c>
      <c r="B54" s="1">
        <f>B13*(1-B49)*B24/B52*1000*1000</f>
        <v>16.285555823450444</v>
      </c>
      <c r="C54" s="1" t="s">
        <v>50</v>
      </c>
      <c r="D54" s="1" t="s">
        <v>51</v>
      </c>
      <c r="I54" s="8" t="s">
        <v>86</v>
      </c>
      <c r="J54" s="8"/>
      <c r="K54" s="8"/>
      <c r="L54" s="8"/>
    </row>
    <row r="55" spans="1:12" ht="14.25">
      <c r="A55" s="1" t="s">
        <v>52</v>
      </c>
      <c r="B55" s="1">
        <f>D47*D47*B54</f>
        <v>407.1388955862611</v>
      </c>
      <c r="C55" s="1" t="s">
        <v>50</v>
      </c>
      <c r="D55" s="1" t="s">
        <v>51</v>
      </c>
      <c r="E55" s="8" t="s">
        <v>96</v>
      </c>
      <c r="F55" s="8"/>
      <c r="G55" s="1">
        <f>(B4*B49)*(B4*B49)/(2*B11*B23*1000*0.4/B19)*1000*1000</f>
        <v>697.1932161470841</v>
      </c>
      <c r="H55" s="1" t="s">
        <v>97</v>
      </c>
      <c r="I55" s="8" t="s">
        <v>87</v>
      </c>
      <c r="J55" s="8"/>
      <c r="K55" s="8"/>
      <c r="L55" s="8"/>
    </row>
    <row r="56" spans="2:8" ht="14.25">
      <c r="B56" s="9" t="s">
        <v>53</v>
      </c>
      <c r="C56" s="9"/>
      <c r="D56" s="9"/>
      <c r="E56" s="9"/>
      <c r="F56" s="9"/>
      <c r="G56" s="9"/>
      <c r="H56" s="9"/>
    </row>
    <row r="57" spans="2:8" ht="14.25">
      <c r="B57" s="9"/>
      <c r="C57" s="9"/>
      <c r="D57" s="9"/>
      <c r="E57" s="9"/>
      <c r="F57" s="9"/>
      <c r="G57" s="9"/>
      <c r="H57" s="9"/>
    </row>
    <row r="59" spans="1:12" ht="14.25">
      <c r="A59" s="8" t="s">
        <v>54</v>
      </c>
      <c r="B59" s="8"/>
      <c r="C59" s="1">
        <f>B10/(1-B49)+B52/2</f>
        <v>10.884942010068993</v>
      </c>
      <c r="E59" s="1" t="s">
        <v>50</v>
      </c>
      <c r="F59" s="1" t="s">
        <v>56</v>
      </c>
      <c r="I59" s="8" t="s">
        <v>89</v>
      </c>
      <c r="J59" s="8"/>
      <c r="K59" s="8"/>
      <c r="L59" s="8"/>
    </row>
    <row r="60" ht="14.25">
      <c r="A60" s="3"/>
    </row>
    <row r="61" spans="1:12" ht="14.25">
      <c r="A61" s="8" t="s">
        <v>55</v>
      </c>
      <c r="B61" s="8"/>
      <c r="C61" s="1">
        <f>C59/D47</f>
        <v>2.176988402013799</v>
      </c>
      <c r="E61" s="1" t="s">
        <v>50</v>
      </c>
      <c r="F61" s="1" t="s">
        <v>56</v>
      </c>
      <c r="I61" s="8" t="s">
        <v>90</v>
      </c>
      <c r="J61" s="8"/>
      <c r="K61" s="8"/>
      <c r="L61" s="8"/>
    </row>
    <row r="66" spans="1:12" ht="14.25">
      <c r="A66" s="1" t="s">
        <v>57</v>
      </c>
      <c r="C66" s="1">
        <f>C61*B55/(B30*B39)</f>
        <v>63.6763548500652</v>
      </c>
      <c r="E66" s="1">
        <f>G55*C61/(I33*B39)</f>
        <v>102.74526315789478</v>
      </c>
      <c r="I66" s="8" t="s">
        <v>91</v>
      </c>
      <c r="J66" s="8"/>
      <c r="K66" s="8"/>
      <c r="L66" s="8"/>
    </row>
    <row r="67" spans="1:8" ht="14.25">
      <c r="A67" s="9" t="s">
        <v>58</v>
      </c>
      <c r="B67" s="9"/>
      <c r="C67" s="9"/>
      <c r="D67" s="9"/>
      <c r="E67" s="9"/>
      <c r="F67" s="9"/>
      <c r="G67" s="9"/>
      <c r="H67" s="9"/>
    </row>
    <row r="68" spans="1:8" ht="14.25">
      <c r="A68" s="9"/>
      <c r="B68" s="9"/>
      <c r="C68" s="9"/>
      <c r="D68" s="9"/>
      <c r="E68" s="9"/>
      <c r="F68" s="9"/>
      <c r="G68" s="9"/>
      <c r="H68" s="9"/>
    </row>
    <row r="69" spans="1:4" ht="14.25">
      <c r="A69" s="1" t="s">
        <v>59</v>
      </c>
      <c r="B69" s="6">
        <v>60</v>
      </c>
      <c r="C69" s="1" t="s">
        <v>60</v>
      </c>
      <c r="D69" s="6">
        <v>65</v>
      </c>
    </row>
    <row r="70" spans="1:8" ht="14.25">
      <c r="A70" s="9" t="s">
        <v>61</v>
      </c>
      <c r="B70" s="9"/>
      <c r="C70" s="9"/>
      <c r="D70" s="9"/>
      <c r="E70" s="9"/>
      <c r="F70" s="9"/>
      <c r="G70" s="9"/>
      <c r="H70" s="9"/>
    </row>
    <row r="71" spans="1:8" ht="14.25">
      <c r="A71" s="9"/>
      <c r="B71" s="9"/>
      <c r="C71" s="9"/>
      <c r="D71" s="9"/>
      <c r="E71" s="9"/>
      <c r="F71" s="9"/>
      <c r="G71" s="9"/>
      <c r="H71" s="9"/>
    </row>
    <row r="72" spans="1:5" ht="14.25">
      <c r="A72" s="1" t="s">
        <v>62</v>
      </c>
      <c r="B72" s="7">
        <f>B69</f>
        <v>60</v>
      </c>
      <c r="C72" s="1" t="s">
        <v>72</v>
      </c>
      <c r="D72" s="1" t="s">
        <v>59</v>
      </c>
      <c r="E72" s="1">
        <f>B4*B25*B24*1000000/B30/B39</f>
        <v>53.34779018989545</v>
      </c>
    </row>
    <row r="74" spans="1:6" ht="14.25">
      <c r="A74" s="1" t="s">
        <v>63</v>
      </c>
      <c r="B74" s="7">
        <f>B72/D47</f>
        <v>12</v>
      </c>
      <c r="C74" s="1" t="s">
        <v>72</v>
      </c>
      <c r="D74" s="1" t="s">
        <v>63</v>
      </c>
      <c r="E74" s="1">
        <f>B72*B13/B15</f>
        <v>11.999999999999998</v>
      </c>
      <c r="F74" s="1" t="s">
        <v>72</v>
      </c>
    </row>
    <row r="76" spans="1:2" ht="14.25">
      <c r="A76" s="1" t="s">
        <v>64</v>
      </c>
      <c r="B76" s="7">
        <f>(B17+1)/B13*B74</f>
        <v>7.959183673469387</v>
      </c>
    </row>
    <row r="78" spans="1:12" ht="14.25">
      <c r="A78" s="1" t="s">
        <v>92</v>
      </c>
      <c r="B78" s="7">
        <f>B72*B72*4*3.14*B39/10000000/(B55/1000)</f>
        <v>0.7807371966814523</v>
      </c>
      <c r="C78" s="1" t="s">
        <v>73</v>
      </c>
      <c r="I78" s="8" t="s">
        <v>93</v>
      </c>
      <c r="J78" s="8"/>
      <c r="K78" s="8"/>
      <c r="L78" s="8"/>
    </row>
    <row r="80" spans="1:7" ht="14.25">
      <c r="A80" s="1" t="s">
        <v>65</v>
      </c>
      <c r="B80" s="7">
        <f>B11/B19/B4/G80</f>
        <v>0.16860280952263282</v>
      </c>
      <c r="C80" s="1" t="s">
        <v>66</v>
      </c>
      <c r="D80" s="8" t="s">
        <v>67</v>
      </c>
      <c r="E80" s="8"/>
      <c r="F80" s="1" t="s">
        <v>68</v>
      </c>
      <c r="G80" s="4">
        <v>4</v>
      </c>
    </row>
    <row r="82" spans="1:7" ht="14.25">
      <c r="A82" s="1" t="s">
        <v>69</v>
      </c>
      <c r="B82" s="7">
        <f>B10/G82</f>
        <v>0.79</v>
      </c>
      <c r="C82" s="1" t="s">
        <v>66</v>
      </c>
      <c r="D82" s="8" t="s">
        <v>67</v>
      </c>
      <c r="E82" s="8"/>
      <c r="F82" s="1" t="s">
        <v>68</v>
      </c>
      <c r="G82" s="4">
        <v>4</v>
      </c>
    </row>
    <row r="84" spans="1:8" ht="14.25">
      <c r="A84" s="9" t="s">
        <v>70</v>
      </c>
      <c r="B84" s="9"/>
      <c r="C84" s="9"/>
      <c r="D84" s="9"/>
      <c r="E84" s="9"/>
      <c r="F84" s="9"/>
      <c r="G84" s="9"/>
      <c r="H84" s="9"/>
    </row>
    <row r="85" spans="1:8" ht="14.25">
      <c r="A85" s="9"/>
      <c r="B85" s="9"/>
      <c r="C85" s="9"/>
      <c r="D85" s="9"/>
      <c r="E85" s="9"/>
      <c r="F85" s="9"/>
      <c r="G85" s="9"/>
      <c r="H85" s="9"/>
    </row>
    <row r="86" spans="1:8" ht="14.25">
      <c r="A86" s="9"/>
      <c r="B86" s="9"/>
      <c r="C86" s="9"/>
      <c r="D86" s="9"/>
      <c r="E86" s="9"/>
      <c r="F86" s="9"/>
      <c r="G86" s="9"/>
      <c r="H86" s="9"/>
    </row>
    <row r="87" spans="1:8" ht="14.25">
      <c r="A87" s="8"/>
      <c r="B87" s="8"/>
      <c r="C87" s="8"/>
      <c r="D87" s="8"/>
      <c r="E87" s="8"/>
      <c r="F87" s="8"/>
      <c r="G87" s="8"/>
      <c r="H87" s="8"/>
    </row>
    <row r="88" spans="1:8" ht="14.25">
      <c r="A88" s="8"/>
      <c r="B88" s="8"/>
      <c r="C88" s="8"/>
      <c r="D88" s="8"/>
      <c r="E88" s="8"/>
      <c r="F88" s="8"/>
      <c r="G88" s="8"/>
      <c r="H88" s="8"/>
    </row>
  </sheetData>
  <mergeCells count="32">
    <mergeCell ref="A1:H2"/>
    <mergeCell ref="E35:F35"/>
    <mergeCell ref="E36:F36"/>
    <mergeCell ref="E43:F43"/>
    <mergeCell ref="C15:D15"/>
    <mergeCell ref="E15:F15"/>
    <mergeCell ref="G15:I15"/>
    <mergeCell ref="G33:H33"/>
    <mergeCell ref="A61:B61"/>
    <mergeCell ref="E47:H47"/>
    <mergeCell ref="B56:H57"/>
    <mergeCell ref="A59:B59"/>
    <mergeCell ref="E53:F53"/>
    <mergeCell ref="D49:E49"/>
    <mergeCell ref="D50:E50"/>
    <mergeCell ref="E55:F55"/>
    <mergeCell ref="A67:H68"/>
    <mergeCell ref="A70:H71"/>
    <mergeCell ref="D80:E80"/>
    <mergeCell ref="A87:H88"/>
    <mergeCell ref="D82:E82"/>
    <mergeCell ref="A84:H86"/>
    <mergeCell ref="I78:L78"/>
    <mergeCell ref="I30:K30"/>
    <mergeCell ref="I55:L55"/>
    <mergeCell ref="I59:L59"/>
    <mergeCell ref="I61:L61"/>
    <mergeCell ref="I66:L66"/>
    <mergeCell ref="I47:L47"/>
    <mergeCell ref="I49:L49"/>
    <mergeCell ref="I52:L52"/>
    <mergeCell ref="I54:L54"/>
  </mergeCells>
  <printOptions/>
  <pageMargins left="0.31496062992125984" right="0.2362204724409449" top="0.31496062992125984" bottom="0.2362204724409449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2011-04-09T08:11:25Z</dcterms:modified>
  <cp:category/>
  <cp:version/>
  <cp:contentType/>
  <cp:contentStatus/>
</cp:coreProperties>
</file>