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75" windowWidth="11325" windowHeight="8700" activeTab="0"/>
  </bookViews>
  <sheets>
    <sheet name="3612" sheetId="1" r:id="rId1"/>
  </sheets>
  <definedNames>
    <definedName name="Ae" localSheetId="0">'3612'!$D$27</definedName>
    <definedName name="Ae">#REF!</definedName>
    <definedName name="Bmax" localSheetId="0">'3612'!$D$28</definedName>
    <definedName name="Bmax">#REF!</definedName>
    <definedName name="Cbulk_min">'3612'!$D$32</definedName>
    <definedName name="Derating_mos">'3612'!$D$51</definedName>
    <definedName name="Derating_rect">'3612'!$D$58</definedName>
    <definedName name="fmin" localSheetId="0">'3612'!$D$13</definedName>
    <definedName name="fmin">#REF!</definedName>
    <definedName name="fs_25_lm">'3612'!$D$41</definedName>
    <definedName name="fs_hi">'3612'!$D$46</definedName>
    <definedName name="fs_lm">'3612'!$D$42</definedName>
    <definedName name="fsw_lf" localSheetId="0">'3612'!$D$22</definedName>
    <definedName name="fsw_lf">#REF!</definedName>
    <definedName name="Iout_max" localSheetId="0">'3612'!#REF!</definedName>
    <definedName name="Iout_max">#REF!</definedName>
    <definedName name="Iout_nom" localSheetId="0">'3612'!$D$10</definedName>
    <definedName name="Iout_nom">#REF!</definedName>
    <definedName name="Kcc" localSheetId="0">'3612'!$D$15</definedName>
    <definedName name="Kcc">#REF!</definedName>
    <definedName name="Lm">'3612'!$D$66</definedName>
    <definedName name="Lm_min">'3612'!$D$39</definedName>
    <definedName name="Lm_sel">'3612'!$D$66</definedName>
    <definedName name="Np" localSheetId="0">'3612'!$D$63</definedName>
    <definedName name="Np">#REF!</definedName>
    <definedName name="Np_min">'3612'!$D$35</definedName>
    <definedName name="Ntr" localSheetId="0">'3612'!$D$62</definedName>
    <definedName name="Ntr">#REF!</definedName>
    <definedName name="Ntr_est">'3612'!$D$53</definedName>
    <definedName name="Pin_max" localSheetId="0">'3612'!$D$31</definedName>
    <definedName name="Pin_max">#REF!</definedName>
    <definedName name="Pout_max" localSheetId="0">'3612'!$D$30</definedName>
    <definedName name="Pout_max">#REF!</definedName>
    <definedName name="Pxfmr" localSheetId="0">'3612'!$D$37</definedName>
    <definedName name="Pxfmr">#REF!</definedName>
    <definedName name="Ris" localSheetId="0">'3612'!$D$65</definedName>
    <definedName name="Ris">#REF!</definedName>
    <definedName name="Rst" localSheetId="0">'3612'!#REF!</definedName>
    <definedName name="Rst">#REF!</definedName>
    <definedName name="Ton_25_hi">'3612'!$D$48</definedName>
    <definedName name="Ton_25_lm">'3612'!$D$45</definedName>
    <definedName name="Ton_lmt">'3612'!$D$17</definedName>
    <definedName name="Tres" localSheetId="0">'3612'!$D$21</definedName>
    <definedName name="Tres">#REF!</definedName>
    <definedName name="Trst_min" localSheetId="0">'3612'!#REF!</definedName>
    <definedName name="Trst_min">#REF!</definedName>
    <definedName name="Vac_max" localSheetId="0">'3612'!$D$11</definedName>
    <definedName name="Vac_max">#REF!</definedName>
    <definedName name="Vac_min" localSheetId="0">'3612'!$D$12</definedName>
    <definedName name="Vac_min">#REF!</definedName>
    <definedName name="Vd_rating_rect">'3612'!$D$56</definedName>
    <definedName name="Vds_rating_mos">'3612'!$D$49</definedName>
    <definedName name="Vfd" localSheetId="0">'3612'!$D$26</definedName>
    <definedName name="Vfd">#REF!</definedName>
    <definedName name="Vindc_hi">'3612'!$D$20</definedName>
    <definedName name="Vindc_min" localSheetId="0">'3612'!$D$19</definedName>
    <definedName name="Vindc_min">#REF!</definedName>
    <definedName name="Vout_pcb" localSheetId="0">'3612'!$D$9</definedName>
    <definedName name="Vout_pcb">#REF!</definedName>
    <definedName name="Vspike_mos">'3612'!$D$50</definedName>
    <definedName name="Vspike_rect">'3612'!$D$57</definedName>
    <definedName name="VTlmt">'3612'!#REF!</definedName>
    <definedName name="VTmax" localSheetId="0">'3612'!$D$34</definedName>
    <definedName name="VTmax">#REF!</definedName>
    <definedName name="Vtmax_after">'3612'!$D$43</definedName>
    <definedName name="VTpfm" localSheetId="0">'3612'!#REF!</definedName>
    <definedName name="VTpfm">#REF!</definedName>
    <definedName name="Zin" localSheetId="0">'3612'!$D$16</definedName>
    <definedName name="Zin">#REF!</definedName>
    <definedName name="ηp" localSheetId="0">'3612'!$D$23</definedName>
    <definedName name="ηp">#REF!</definedName>
    <definedName name="ηpxfm" localSheetId="0">'3612'!$D$24</definedName>
    <definedName name="ηpxfm">#REF!</definedName>
  </definedNames>
  <calcPr fullCalcOnLoad="1"/>
</workbook>
</file>

<file path=xl/sharedStrings.xml><?xml version="1.0" encoding="utf-8"?>
<sst xmlns="http://schemas.openxmlformats.org/spreadsheetml/2006/main" count="326" uniqueCount="254">
  <si>
    <t>Symbol</t>
  </si>
  <si>
    <t>Unit</t>
  </si>
  <si>
    <t>V</t>
  </si>
  <si>
    <t>A</t>
  </si>
  <si>
    <t>Maximum output power</t>
  </si>
  <si>
    <t>Nominal output current</t>
  </si>
  <si>
    <t>W</t>
  </si>
  <si>
    <t>Pout_max</t>
  </si>
  <si>
    <t>Maximum input power</t>
  </si>
  <si>
    <t>V*us</t>
  </si>
  <si>
    <t>us</t>
  </si>
  <si>
    <t>Pin_max</t>
  </si>
  <si>
    <t>Maximum AC input voltage</t>
  </si>
  <si>
    <t>Vac_max</t>
  </si>
  <si>
    <t>Minimum AC input voltage</t>
  </si>
  <si>
    <t>Vac_min</t>
  </si>
  <si>
    <t>Hz</t>
  </si>
  <si>
    <t>Minimum AC frequency</t>
  </si>
  <si>
    <t>ηp</t>
  </si>
  <si>
    <t>fmin</t>
  </si>
  <si>
    <t>uF</t>
  </si>
  <si>
    <t>mH</t>
  </si>
  <si>
    <t>kHz</t>
  </si>
  <si>
    <t>Kcc</t>
  </si>
  <si>
    <t>ohm</t>
  </si>
  <si>
    <t>Lm_min</t>
  </si>
  <si>
    <t>Ae</t>
  </si>
  <si>
    <t>mm^2</t>
  </si>
  <si>
    <t>Ferrite core effective area</t>
  </si>
  <si>
    <t>Bmax</t>
  </si>
  <si>
    <t>mT</t>
  </si>
  <si>
    <t>Np</t>
  </si>
  <si>
    <t>Minimum primary winding turns</t>
  </si>
  <si>
    <t>Note</t>
  </si>
  <si>
    <t>Tres</t>
  </si>
  <si>
    <t>Item</t>
  </si>
  <si>
    <t>fsw_lf</t>
  </si>
  <si>
    <t>Output diode voltage drop</t>
  </si>
  <si>
    <t>Vfd</t>
  </si>
  <si>
    <t>Iout_nom</t>
  </si>
  <si>
    <t>Vindc_min</t>
  </si>
  <si>
    <t>Minimum input bulk capacitor</t>
  </si>
  <si>
    <t>Cbulk_min</t>
  </si>
  <si>
    <t>Ntr</t>
  </si>
  <si>
    <t>Vout_pcb</t>
  </si>
  <si>
    <t>VTmax</t>
  </si>
  <si>
    <t>Maximum allowed operating flux density</t>
  </si>
  <si>
    <t>Turn</t>
  </si>
  <si>
    <t>Internal Rvin resistance</t>
  </si>
  <si>
    <t>Zin</t>
  </si>
  <si>
    <t>kOhm</t>
  </si>
  <si>
    <t>ηpxfm</t>
  </si>
  <si>
    <t>Minimum transformer power needed for full power</t>
  </si>
  <si>
    <t>Pxfmr</t>
  </si>
  <si>
    <t>Transformer conversion efficiency</t>
  </si>
  <si>
    <t>Current limit coefficiency</t>
  </si>
  <si>
    <t>Ris</t>
  </si>
  <si>
    <t>Minimum Lm to allow CC limit</t>
  </si>
  <si>
    <t>Ns</t>
  </si>
  <si>
    <t>Np_min</t>
  </si>
  <si>
    <t>Design Parameters</t>
  </si>
  <si>
    <t>Estimiate input to output efficiency</t>
  </si>
  <si>
    <t>Select lowest DC bulk capacitor voltage</t>
  </si>
  <si>
    <t>Estimate Vds resonant period after transformer reset.</t>
  </si>
  <si>
    <t>Set Design Specification</t>
  </si>
  <si>
    <t>Set Circuit and Operating Parameters</t>
  </si>
  <si>
    <t>Do not change</t>
  </si>
  <si>
    <t>Value</t>
  </si>
  <si>
    <t>Calculation</t>
  </si>
  <si>
    <t>Cbulk</t>
  </si>
  <si>
    <t>Select the number of primary turns</t>
  </si>
  <si>
    <t>Select turn ratio</t>
  </si>
  <si>
    <t>Select bulk capacitance</t>
  </si>
  <si>
    <t>Calculate the number secondary turns</t>
  </si>
  <si>
    <t>Adjust Ntr and Nps to make it an integer</t>
  </si>
  <si>
    <t>Calculate current sense resistor</t>
  </si>
  <si>
    <t>Set the desired minimum Vbulk</t>
  </si>
  <si>
    <t>Adjust after prototype is built</t>
  </si>
  <si>
    <t>Typical 85-95%</t>
  </si>
  <si>
    <t>Allow manual input</t>
  </si>
  <si>
    <t>No-load voltage at PCB end</t>
  </si>
  <si>
    <t>Ton limit</t>
  </si>
  <si>
    <t>Ton_lmt</t>
  </si>
  <si>
    <t>Select Lm value</t>
  </si>
  <si>
    <t>This is ideal value. Need to adjust for efficiency loss.</t>
  </si>
  <si>
    <t>Lower frequency leads to higher efficiency; Higher frequency leads to smaller size.</t>
  </si>
  <si>
    <t>This is from Isense peak limit.</t>
  </si>
  <si>
    <t>Kb</t>
  </si>
  <si>
    <t>Kc</t>
  </si>
  <si>
    <t>Tp</t>
  </si>
  <si>
    <t>fs_lm</t>
  </si>
  <si>
    <t>Temporary data</t>
  </si>
  <si>
    <t>Actual operating frequency based on selected Lm at Vindc_min</t>
  </si>
  <si>
    <t>Select targeting lowest allowed quasi-resonant switching frequency under lowest CB bulk capacitor voltage and full load condition</t>
  </si>
  <si>
    <t>for Vindc_high</t>
  </si>
  <si>
    <t>for Vindc_min</t>
  </si>
  <si>
    <t>fs_hi</t>
  </si>
  <si>
    <t>Ton at fs_lm</t>
  </si>
  <si>
    <t>Ton_fs_lm</t>
  </si>
  <si>
    <t>Ton at fs_hi</t>
  </si>
  <si>
    <t>Ton_fs_hi</t>
  </si>
  <si>
    <t>At least 400V MOSFET for 120Vac input design;     600V MOSFET  for 230Vac design</t>
  </si>
  <si>
    <t>Vspike on mosfet</t>
  </si>
  <si>
    <t>60-150V, Adjust after prototype is built</t>
  </si>
  <si>
    <t>Estemated Voltage on MOSFET</t>
  </si>
  <si>
    <t xml:space="preserve">If output volatge is lower  than 12V, suggest to use 100V schottky dioe </t>
  </si>
  <si>
    <t>Vspike on output rectifier</t>
  </si>
  <si>
    <t>3V-10V, depends on transformer design, adjust after prototype is built</t>
  </si>
  <si>
    <t>Estemated Voltage on diode</t>
  </si>
  <si>
    <t>Vdiode</t>
  </si>
  <si>
    <t>Calculated Ton at full power if operates at frequency fs_lm</t>
  </si>
  <si>
    <t>Calculated Ton at full power if operates at frequency fs_hi</t>
  </si>
  <si>
    <t xml:space="preserve"> Internal Paramters</t>
  </si>
  <si>
    <t>Check</t>
  </si>
  <si>
    <t>Criteria</t>
  </si>
  <si>
    <t>Flyback Circuit Design Worksheet For LED Driver with iW3612/02/14
Update 12/16/2010</t>
  </si>
  <si>
    <t>Output rectifier forward average voltage drop, recommend 0.5-1.2V</t>
  </si>
  <si>
    <t>Normal range--2.2V(Red)-3.8V(white) per pcs; 
Recommend set Vout_pcb based on 10% Vout margin;</t>
  </si>
  <si>
    <t>[Vout_pcb x Iout_nom]</t>
  </si>
  <si>
    <t>[Pout_max/ηp]</t>
  </si>
  <si>
    <t>&lt;1200</t>
  </si>
  <si>
    <t>-</t>
  </si>
  <si>
    <t>Input estimated operating frequency at 25% load</t>
  </si>
  <si>
    <t>fs_25_lm</t>
  </si>
  <si>
    <t>Ton at 25% load</t>
  </si>
  <si>
    <t>Ton_25_lm</t>
  </si>
  <si>
    <t>Lm_sel</t>
  </si>
  <si>
    <t>Calculated Ton at 25% power (lowest amplitude dimming level) if operates at Vindc_min.</t>
  </si>
  <si>
    <t>Vindc_hi</t>
  </si>
  <si>
    <t>Select highest DC bulk capacitor voltage at full load</t>
  </si>
  <si>
    <t>This is to estmiate the operating frequency at high voltage corner; It is averaged Vbulk voltage.</t>
  </si>
  <si>
    <t>Recommend 150-180kHz. This is to estimate the lowest Ton.</t>
  </si>
  <si>
    <t>Actual operating frequency based on selected Lm at Vindc_hi</t>
  </si>
  <si>
    <t>Calculated operating frequency at high Vbulk voltage level.</t>
  </si>
  <si>
    <t>Ton_25_hi</t>
  </si>
  <si>
    <t>Select MOSFET _Vds</t>
  </si>
  <si>
    <t>Set Component Parameters</t>
  </si>
  <si>
    <t>Vspike_mos</t>
  </si>
  <si>
    <t>Vds_rating_mos</t>
  </si>
  <si>
    <t>Vds_mos</t>
  </si>
  <si>
    <t>MOSFET derating coefficient</t>
  </si>
  <si>
    <t>Derating_mos</t>
  </si>
  <si>
    <t>Recommend 0.9 or lower</t>
  </si>
  <si>
    <t>&lt;Derating_mos * Vds_rating_mos</t>
  </si>
  <si>
    <t>Vd_rating_rect</t>
  </si>
  <si>
    <t>Vspike_rect</t>
  </si>
  <si>
    <t>Derating_rect</t>
  </si>
  <si>
    <t>Recommend 0.8 or lower</t>
  </si>
  <si>
    <t>Select output rectifier voltage rating</t>
  </si>
  <si>
    <t>Output rectifier derating coefficient</t>
  </si>
  <si>
    <t>&lt;Derating_rect * Vd_rating_rect</t>
  </si>
  <si>
    <t>&gt;Np_min</t>
  </si>
  <si>
    <t>Maximum VinTon</t>
  </si>
  <si>
    <t>Based on targeting fs_lf</t>
  </si>
  <si>
    <t>Actual Vin*Ton at fs_lm</t>
  </si>
  <si>
    <t>Vtmax_after</t>
  </si>
  <si>
    <t>Based on actual operating frequency fs_lm</t>
  </si>
  <si>
    <t>Calculated based on the selected Lm</t>
  </si>
  <si>
    <t>Vcc / Vsense section</t>
  </si>
  <si>
    <t>Vcc</t>
  </si>
  <si>
    <t xml:space="preserve">Maximum Vcc voltage </t>
  </si>
  <si>
    <t xml:space="preserve">Select the number of Vcc winding turns </t>
  </si>
  <si>
    <t>N__Vsense</t>
  </si>
  <si>
    <t>Vsense resistor_Low side</t>
  </si>
  <si>
    <t>Vsense resistor_Up side</t>
  </si>
  <si>
    <t>Vsense voltage at rated LED loading</t>
  </si>
  <si>
    <t>Kohm</t>
  </si>
  <si>
    <t>R_up</t>
  </si>
  <si>
    <t>R_low</t>
  </si>
  <si>
    <t xml:space="preserve">Vsense knee voltage should be lower than 1.538V with margins </t>
  </si>
  <si>
    <t>If VCC/Vsense use the same winding, Vcc should be less than 15V, Vcc volatge will be  higer then this value due to leackage spike ; Vcc voltage should be higher than 8.5V with 10% margin for UVP</t>
  </si>
  <si>
    <t>Lm_vtmax</t>
  </si>
  <si>
    <t>Default 
(if not known)</t>
  </si>
  <si>
    <t>200 (low line)
350 (high line)</t>
  </si>
  <si>
    <t>From core datasheet</t>
  </si>
  <si>
    <t>This is a conservative estimation wihtout considering the boosting effect. If consider boost effect, multiplied by 0.9</t>
  </si>
  <si>
    <t>&gt;Cbulk_min * 0.9</t>
  </si>
  <si>
    <t>Parameter: bulk capacitance</t>
  </si>
  <si>
    <t>Cbulk_val</t>
  </si>
  <si>
    <t>Maximum  Lm by VTmax</t>
  </si>
  <si>
    <t>Lm_val</t>
  </si>
  <si>
    <t>Parameter: Lm value</t>
  </si>
  <si>
    <t>Usually between Lm_min and Lm_vtmax; Lower inductance allows higher operating frequency. Check fs_lm for the actual operation frequency at full load. 
Here Lm_vtmax is not checked. Lm_sel can go above Lm_max if other criteria is met.</t>
  </si>
  <si>
    <t>&gt;Lm_min
(Usually below Lm_vtmax, but not hard limit)</t>
  </si>
  <si>
    <t>From datasheet</t>
  </si>
  <si>
    <t xml:space="preserve">Select NVo value </t>
  </si>
  <si>
    <t>Nvo</t>
  </si>
  <si>
    <t>Ntr_val</t>
  </si>
  <si>
    <t>Parameter: turn ratio</t>
  </si>
  <si>
    <t>Np_val</t>
  </si>
  <si>
    <t>Estimate turn ratio</t>
  </si>
  <si>
    <t>Including the output rectifier voltage drop, check MOSFET and output diode Stress.</t>
  </si>
  <si>
    <t>Ntr_est</t>
  </si>
  <si>
    <r>
      <t xml:space="preserve">Within Ntr_est </t>
    </r>
    <r>
      <rPr>
        <sz val="10"/>
        <rFont val="Calibri"/>
        <family val="2"/>
      </rPr>
      <t>±</t>
    </r>
    <r>
      <rPr>
        <sz val="10"/>
        <rFont val="Arial"/>
        <family val="2"/>
      </rPr>
      <t>0.5, and Ntr&gt;0</t>
    </r>
  </si>
  <si>
    <t>75-85%</t>
  </si>
  <si>
    <t>90-95%</t>
  </si>
  <si>
    <t>Calculated Ton at 25% power (lowest amplitude dimming level) if operates at Vindc_high at frequency 200kHz. Check: &gt;0.7us</t>
  </si>
  <si>
    <t>Normal range--2.2V(Red)-3.8V(white) per pcs; 
推荐选用比额定值高10% ,110%*V_LED</t>
  </si>
  <si>
    <t>设定Bulk电解上最高平均电压,班根据输入高压低压而选择200或300</t>
  </si>
  <si>
    <t>推荐用1uS, 样机工作后用示波确认测试结果再更改</t>
  </si>
  <si>
    <t>设定预计的驱动电源的效率</t>
  </si>
  <si>
    <t>设定典型的变压器转换效率</t>
  </si>
  <si>
    <t>推荐在300mT以下</t>
  </si>
  <si>
    <t>请选择电容值, 希望接近计算值</t>
  </si>
  <si>
    <t>如果VT接近最大值时的变压器电感量,也就是电感量上限</t>
  </si>
  <si>
    <t>通常选择在Lm_min 和 Lm_vtmax之间, 较低的电感量会导致较高的工作频率, 频率太高对效率有影响.. 请在满载输出的时候确认变压器的工作频率 和变压器最大工作磁通量, 如果各项参数正常, 电感量也可以略高于此计算值</t>
  </si>
  <si>
    <t>在BULK电容电压低点时,根据实际选择的变压器设计算出来的Vin*Ton, 要求在1200以下</t>
  </si>
  <si>
    <t>在BULK电容电压低点时,根据实际选择的变压器设计算出来的在满载工作时的变压器导通时间,</t>
  </si>
  <si>
    <t xml:space="preserve">推荐选用合适的MOSFET电压, 如果输入是230V型号,最少600V  MSOFET, 也可以考虑650V的MOSFET </t>
  </si>
  <si>
    <t>经验设定值, 在样机工作后确认, 漏感小的变压器尖峰会小一点,也要合理使用吸收回路参数, 通常在60-150V之间</t>
  </si>
  <si>
    <t>MOSFET VDS的降额使用系数,推荐用0.9</t>
  </si>
  <si>
    <t>推荐选用的变压器反射电压值, 需要综合考虑输出整流管的参数和MOSFET的参数, 通常在70V左右, 可以根据MOSFET和输出二极管参数适当变化,也要考虑变压器的实际工艺和圈数结果修正</t>
  </si>
  <si>
    <t>预估的变压器圈比,推荐值</t>
  </si>
  <si>
    <t>请选择圈比,如果有问题可以根据MOSFET和输出二极管参数适当变化,也要考虑变压器的实际工艺和圈数结果修正</t>
  </si>
  <si>
    <t>建议选用肖特基和超快恢复的二极管</t>
  </si>
  <si>
    <t xml:space="preserve">输出整流管上的尖峰电压,3V-10V,在测试样机后修正 </t>
  </si>
  <si>
    <t>如果是肖特基,推荐用0.8</t>
  </si>
  <si>
    <t>13~15</t>
  </si>
  <si>
    <t>2.2-3.3</t>
  </si>
  <si>
    <t>输入电解电容</t>
  </si>
  <si>
    <t>变压器圈比</t>
  </si>
  <si>
    <t>变压器初级绕组圈数</t>
  </si>
  <si>
    <t>变压器次级绕组的圈数, 可以适当修改圈比使此结果为整数</t>
  </si>
  <si>
    <t>理想的电流取样电阻值, 根据实际输出电流结果调整</t>
  </si>
  <si>
    <t>变压器电感量</t>
  </si>
  <si>
    <t>Vsense/VCC绕组圈数</t>
  </si>
  <si>
    <t xml:space="preserve">Vcc winding turns </t>
  </si>
  <si>
    <t>Vsense 取样分压上端电阻 调整电阻使Vsense在合理范围内</t>
  </si>
  <si>
    <t>Vsense 取样分压下端电阻 调整电阻使Vsense在合理范围内,建议在2.2K-3.3K之间</t>
  </si>
  <si>
    <t>&gt;0.65</t>
  </si>
  <si>
    <t>&lt;120</t>
  </si>
  <si>
    <t>&lt;180</t>
  </si>
  <si>
    <t>Update 3/5/2011</t>
  </si>
  <si>
    <t>Spec</t>
  </si>
  <si>
    <t>90--100   (low line)
200--250 (high line)</t>
  </si>
  <si>
    <t>设定希望的Bulk电解容上的最低工作电压,影响电容值的选择, 如果计算的出的BULK电容值大小不满意得相应调整此参数</t>
  </si>
  <si>
    <t>根据选择的二极管确定, 肖特基在0.5-0.7V,快恢复为0.7-1.2V</t>
  </si>
  <si>
    <t>参考磁芯</t>
  </si>
  <si>
    <r>
      <t>这是从预估电容值大小, 如果计算值太高, 请调整电容的最低电压值</t>
    </r>
    <r>
      <rPr>
        <b/>
        <sz val="12"/>
        <color indexed="53"/>
        <rFont val="Arial"/>
        <family val="2"/>
      </rPr>
      <t>D19</t>
    </r>
  </si>
  <si>
    <r>
      <t>基于预计的频率下计算出来的最大伏秒值,希望小于1200, 否则请重新设定工作频率</t>
    </r>
    <r>
      <rPr>
        <b/>
        <sz val="12"/>
        <color indexed="53"/>
        <rFont val="Arial"/>
        <family val="2"/>
      </rPr>
      <t>D22</t>
    </r>
    <r>
      <rPr>
        <sz val="12"/>
        <color indexed="12"/>
        <rFont val="Arial"/>
        <family val="2"/>
      </rPr>
      <t xml:space="preserve">, </t>
    </r>
  </si>
  <si>
    <t xml:space="preserve">推荐设定在120~180kHz之间,这个参数关系到变压器的最小的导通时间, 因为调光到比较低的时候导通时间会越小,频率也会越高 </t>
  </si>
  <si>
    <r>
      <t>计算出来的变压器初级侧圈数,如果太多而很难达到工艺优化 请重新确认变压器截面大小</t>
    </r>
    <r>
      <rPr>
        <b/>
        <sz val="12"/>
        <color indexed="60"/>
        <rFont val="Arial"/>
        <family val="2"/>
      </rPr>
      <t>D27</t>
    </r>
    <r>
      <rPr>
        <sz val="12"/>
        <color indexed="12"/>
        <rFont val="Arial"/>
        <family val="2"/>
      </rPr>
      <t>和工作频率</t>
    </r>
    <r>
      <rPr>
        <b/>
        <sz val="12"/>
        <color indexed="60"/>
        <rFont val="Arial"/>
        <family val="2"/>
      </rPr>
      <t>D22</t>
    </r>
  </si>
  <si>
    <t>从ISENSE角度考虑电感量的下限</t>
  </si>
  <si>
    <t>选择正常时的工作频率,原则上频率低一点对效率是有好处的,频率高一点则可以选择小体积的变压器,推荐120V应用优先选用频率70-80KHZ, 230V应用选用60-70KHZ.</t>
  </si>
  <si>
    <t>通常VCC绕组与变压器电压反馈共用一个绕组,因为要考虑在调光时候LED电压也会下降, 即使是在输出电流最小的时候也要保证VCC电压在UVP 8.5V以上, 所以,正常输出时VCC必须大于13V,如果此电压高于15V,推荐加NPN恒压电路</t>
  </si>
  <si>
    <r>
      <t>Vsense/VCC绕组圈数,希望</t>
    </r>
    <r>
      <rPr>
        <b/>
        <sz val="12"/>
        <color indexed="60"/>
        <rFont val="Arial"/>
        <family val="2"/>
      </rPr>
      <t>D71</t>
    </r>
    <r>
      <rPr>
        <sz val="12"/>
        <color indexed="12"/>
        <rFont val="Arial"/>
        <family val="2"/>
      </rPr>
      <t>项结果在13V以上, 如果VCC部分加了NPN的三极管做为限压,该电压可以适当提高.</t>
    </r>
  </si>
  <si>
    <r>
      <t>Vsense 拐点电压必须在1.538以下以确保IC工作在恒流模式, 建议小于1.4V,如果此电压太高或太低,请调整</t>
    </r>
    <r>
      <rPr>
        <b/>
        <sz val="12"/>
        <color indexed="60"/>
        <rFont val="Arial"/>
        <family val="2"/>
      </rPr>
      <t>D73D74</t>
    </r>
    <r>
      <rPr>
        <sz val="12"/>
        <color indexed="12"/>
        <rFont val="Arial"/>
        <family val="2"/>
      </rPr>
      <t>项</t>
    </r>
  </si>
  <si>
    <t>选择初级圈数,希望略大于计算值,并且适当考虑绕组的工艺结构要求,绕线层数和线径</t>
  </si>
  <si>
    <r>
      <t>在输入电压低点时,根据实际选择的电感量而计算出来的满载工作频率,推荐在120KHz以下,如果预算结果太高,请相应确认</t>
    </r>
    <r>
      <rPr>
        <b/>
        <sz val="12"/>
        <color indexed="60"/>
        <rFont val="Arial"/>
        <family val="2"/>
      </rPr>
      <t>D22</t>
    </r>
    <r>
      <rPr>
        <sz val="12"/>
        <rFont val="Arial"/>
        <family val="2"/>
      </rPr>
      <t>和</t>
    </r>
    <r>
      <rPr>
        <b/>
        <sz val="12"/>
        <color indexed="60"/>
        <rFont val="Arial"/>
        <family val="2"/>
      </rPr>
      <t>D40</t>
    </r>
  </si>
  <si>
    <r>
      <t>在输入电压低点时,根据实际选择的电感量而计算出来的满载工作频率,推荐在180KHz以下,如果有频率太高,请相应确认</t>
    </r>
    <r>
      <rPr>
        <b/>
        <sz val="12"/>
        <color indexed="60"/>
        <rFont val="Arial"/>
        <family val="2"/>
      </rPr>
      <t>D22</t>
    </r>
    <r>
      <rPr>
        <sz val="12"/>
        <color indexed="12"/>
        <rFont val="Arial"/>
        <family val="2"/>
      </rPr>
      <t>和</t>
    </r>
    <r>
      <rPr>
        <b/>
        <sz val="12"/>
        <color indexed="60"/>
        <rFont val="Arial"/>
        <family val="2"/>
      </rPr>
      <t>D40</t>
    </r>
  </si>
  <si>
    <r>
      <t>在BULK电容电压低点时,根据实际选择的变压器设计算出来的在满载工作时的变压器导通时间,请相应确认</t>
    </r>
    <r>
      <rPr>
        <b/>
        <sz val="12"/>
        <color indexed="60"/>
        <rFont val="Arial"/>
        <family val="2"/>
      </rPr>
      <t>D22</t>
    </r>
    <r>
      <rPr>
        <sz val="12"/>
        <color indexed="12"/>
        <rFont val="Arial"/>
        <family val="2"/>
      </rPr>
      <t>和</t>
    </r>
    <r>
      <rPr>
        <b/>
        <sz val="12"/>
        <color indexed="60"/>
        <rFont val="Arial"/>
        <family val="2"/>
      </rPr>
      <t>D40</t>
    </r>
  </si>
  <si>
    <r>
      <t>请用示波器检查输入电压最高时的二极管反向电压, 配合修改吸收回路和变压器参数,或者选择更高反向电压的二极管</t>
    </r>
    <r>
      <rPr>
        <b/>
        <sz val="12"/>
        <color indexed="60"/>
        <rFont val="Arial"/>
        <family val="2"/>
      </rPr>
      <t>D56</t>
    </r>
  </si>
  <si>
    <r>
      <t>在BULK电容电压低点时,根据实际选择的变压器设计算出来的在轻载25%工作时的变压器导通时间,希望大于0.65uS, 如果有频率太高,驱动在调光输出轻载时.因为导通时间很短, 如果变压器分不电容产导致的电流干扰尖峰太大,可能有闪烁的风险, 请相应确认</t>
    </r>
    <r>
      <rPr>
        <b/>
        <sz val="12"/>
        <color indexed="60"/>
        <rFont val="Arial"/>
        <family val="2"/>
      </rPr>
      <t>D22</t>
    </r>
    <r>
      <rPr>
        <sz val="12"/>
        <color indexed="12"/>
        <rFont val="Arial"/>
        <family val="2"/>
      </rPr>
      <t>和</t>
    </r>
    <r>
      <rPr>
        <b/>
        <sz val="12"/>
        <color indexed="60"/>
        <rFont val="Arial"/>
        <family val="2"/>
      </rPr>
      <t>D40</t>
    </r>
    <r>
      <rPr>
        <sz val="12"/>
        <color indexed="56"/>
        <rFont val="Arial"/>
        <family val="2"/>
      </rPr>
      <t>降低工作频率</t>
    </r>
  </si>
  <si>
    <r>
      <t>请用示波器检查输入电压最高时MOSFET上的电压, 配合修改吸收回路确认漏感尖峰</t>
    </r>
    <r>
      <rPr>
        <b/>
        <sz val="12"/>
        <color indexed="60"/>
        <rFont val="Arial"/>
        <family val="2"/>
      </rPr>
      <t>D50</t>
    </r>
    <r>
      <rPr>
        <sz val="12"/>
        <color indexed="12"/>
        <rFont val="Arial"/>
        <family val="2"/>
      </rPr>
      <t>或改变变压器参数</t>
    </r>
    <r>
      <rPr>
        <b/>
        <sz val="12"/>
        <color indexed="60"/>
        <rFont val="Arial"/>
        <family val="2"/>
      </rPr>
      <t>D54</t>
    </r>
    <r>
      <rPr>
        <sz val="12"/>
        <color indexed="12"/>
        <rFont val="Arial"/>
        <family val="2"/>
      </rPr>
      <t xml:space="preserve">, 或者选择更高电压的MOSFET </t>
    </r>
    <r>
      <rPr>
        <b/>
        <sz val="12"/>
        <color indexed="60"/>
        <rFont val="Arial"/>
        <family val="2"/>
      </rPr>
      <t>D49</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</si>
</sst>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
  </numFmts>
  <fonts count="61">
    <font>
      <sz val="10"/>
      <name val="Arial"/>
      <family val="2"/>
    </font>
    <font>
      <sz val="11"/>
      <color indexed="8"/>
      <name val="宋体"/>
      <family val="0"/>
    </font>
    <font>
      <sz val="8"/>
      <name val="Arial"/>
      <family val="2"/>
    </font>
    <font>
      <i/>
      <sz val="10"/>
      <name val="Arial"/>
      <family val="2"/>
    </font>
    <font>
      <b/>
      <sz val="10"/>
      <name val="Arial"/>
      <family val="2"/>
    </font>
    <font>
      <sz val="14"/>
      <name val="Arial"/>
      <family val="2"/>
    </font>
    <font>
      <sz val="18"/>
      <name val="Arial"/>
      <family val="2"/>
    </font>
    <font>
      <sz val="16"/>
      <name val="Arial"/>
      <family val="2"/>
    </font>
    <font>
      <b/>
      <sz val="12"/>
      <name val="Arial"/>
      <family val="2"/>
    </font>
    <font>
      <b/>
      <sz val="11"/>
      <name val="Arial"/>
      <family val="2"/>
    </font>
    <font>
      <sz val="9"/>
      <name val="Arial"/>
      <family val="2"/>
    </font>
    <font>
      <i/>
      <sz val="9"/>
      <name val="Arial"/>
      <family val="2"/>
    </font>
    <font>
      <sz val="9"/>
      <color indexed="8"/>
      <name val="Arial"/>
      <family val="2"/>
    </font>
    <font>
      <sz val="12"/>
      <name val="Arial"/>
      <family val="2"/>
    </font>
    <font>
      <sz val="10"/>
      <name val="Calibri"/>
      <family val="2"/>
    </font>
    <font>
      <sz val="10"/>
      <color indexed="55"/>
      <name val="Arial"/>
      <family val="2"/>
    </font>
    <font>
      <i/>
      <sz val="10"/>
      <color indexed="55"/>
      <name val="Arial"/>
      <family val="2"/>
    </font>
    <font>
      <sz val="10"/>
      <color indexed="8"/>
      <name val="Arial"/>
      <family val="2"/>
    </font>
    <font>
      <i/>
      <sz val="12"/>
      <color indexed="53"/>
      <name val="Arial"/>
      <family val="2"/>
    </font>
    <font>
      <sz val="12"/>
      <color indexed="12"/>
      <name val="Arial"/>
      <family val="2"/>
    </font>
    <font>
      <b/>
      <sz val="12"/>
      <color indexed="53"/>
      <name val="Arial"/>
      <family val="2"/>
    </font>
    <font>
      <b/>
      <sz val="12"/>
      <color indexed="60"/>
      <name val="Arial"/>
      <family val="2"/>
    </font>
    <font>
      <sz val="12"/>
      <color indexed="56"/>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sz val="10"/>
      <color theme="0" tint="-0.24997000396251678"/>
      <name val="Arial"/>
      <family val="2"/>
    </font>
    <font>
      <i/>
      <sz val="10"/>
      <color theme="0" tint="-0.24997000396251678"/>
      <name val="Arial"/>
      <family val="2"/>
    </font>
    <font>
      <sz val="10"/>
      <color theme="1"/>
      <name val="Arial"/>
      <family val="2"/>
    </font>
    <font>
      <sz val="12"/>
      <color rgb="FF0000FF"/>
      <name val="Arial"/>
      <family val="2"/>
    </font>
    <font>
      <i/>
      <sz val="12"/>
      <color theme="9"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66FFFF"/>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style="thin"/>
      <top style="medium"/>
      <bottom style="thin"/>
    </border>
    <border>
      <left style="thin"/>
      <right/>
      <top style="medium"/>
      <bottom style="medium"/>
    </border>
    <border>
      <left style="thin"/>
      <right/>
      <top style="thin"/>
      <bottom style="thin"/>
    </border>
    <border>
      <left/>
      <right style="thin"/>
      <top style="medium"/>
      <bottom/>
    </border>
    <border>
      <left/>
      <right style="thin"/>
      <top/>
      <bottom/>
    </border>
    <border>
      <left style="thin"/>
      <right style="thin"/>
      <top style="thin"/>
      <bottom/>
    </border>
    <border>
      <left style="thin"/>
      <right/>
      <top style="thin"/>
      <bottom/>
    </border>
    <border>
      <left style="medium"/>
      <right style="thin"/>
      <top style="medium"/>
      <bottom style="medium"/>
    </border>
    <border>
      <left style="thin"/>
      <right style="medium"/>
      <top style="medium"/>
      <bottom style="medium"/>
    </border>
    <border>
      <left style="medium"/>
      <right/>
      <top style="medium"/>
      <bottom/>
    </border>
    <border>
      <left style="thin"/>
      <right style="medium"/>
      <top style="medium"/>
      <bottom style="thin"/>
    </border>
    <border>
      <left style="medium"/>
      <right/>
      <top/>
      <bottom/>
    </border>
    <border>
      <left style="thin"/>
      <right style="medium"/>
      <top style="thin"/>
      <bottom style="thin"/>
    </border>
    <border>
      <left/>
      <right style="medium"/>
      <top/>
      <bottom/>
    </border>
    <border>
      <left style="medium"/>
      <right style="thin"/>
      <top style="thin"/>
      <bottom style="thin"/>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style="medium"/>
      <top style="thin"/>
      <bottom style="thin"/>
    </border>
    <border>
      <left style="medium"/>
      <right/>
      <top style="thin"/>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9">
    <xf numFmtId="0" fontId="0" fillId="0" borderId="0" xfId="0" applyAlignment="1">
      <alignment/>
    </xf>
    <xf numFmtId="0" fontId="0" fillId="33" borderId="10" xfId="0" applyNumberFormat="1" applyFont="1" applyFill="1" applyBorder="1" applyAlignment="1">
      <alignment horizontal="center" vertical="center" wrapText="1"/>
    </xf>
    <xf numFmtId="9" fontId="0"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vertical="center" wrapText="1"/>
    </xf>
    <xf numFmtId="177" fontId="0" fillId="33" borderId="10" xfId="0" applyNumberFormat="1"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0" fontId="0" fillId="0" borderId="0" xfId="0"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8" fillId="0" borderId="11"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10" fillId="34" borderId="10"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9" fontId="0" fillId="0" borderId="14" xfId="0" applyNumberFormat="1" applyFont="1" applyFill="1" applyBorder="1" applyAlignment="1">
      <alignment horizontal="center" vertical="center" wrapText="1"/>
    </xf>
    <xf numFmtId="0" fontId="0" fillId="34" borderId="10" xfId="0" applyNumberFormat="1" applyFont="1" applyFill="1" applyBorder="1" applyAlignment="1">
      <alignment horizontal="center" vertical="center" wrapText="1"/>
    </xf>
    <xf numFmtId="0" fontId="0" fillId="17" borderId="10" xfId="0" applyNumberFormat="1" applyFont="1" applyFill="1" applyBorder="1" applyAlignment="1">
      <alignment horizontal="center" vertical="center" wrapText="1"/>
    </xf>
    <xf numFmtId="0" fontId="0" fillId="11" borderId="10"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176" fontId="0" fillId="34"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13" fillId="0" borderId="11" xfId="0" applyNumberFormat="1" applyFont="1" applyFill="1" applyBorder="1" applyAlignment="1">
      <alignment horizontal="center" vertical="center" wrapText="1"/>
    </xf>
    <xf numFmtId="0" fontId="0" fillId="33" borderId="12" xfId="0" applyFont="1" applyFill="1" applyBorder="1" applyAlignment="1">
      <alignment horizontal="center" vertical="center"/>
    </xf>
    <xf numFmtId="0" fontId="0" fillId="17" borderId="10" xfId="0" applyFont="1" applyFill="1" applyBorder="1" applyAlignment="1">
      <alignment horizontal="center" vertical="center"/>
    </xf>
    <xf numFmtId="1" fontId="0" fillId="33" borderId="10" xfId="0" applyNumberFormat="1" applyFont="1" applyFill="1" applyBorder="1" applyAlignment="1">
      <alignment horizontal="center" vertical="center" wrapText="1"/>
    </xf>
    <xf numFmtId="0" fontId="4" fillId="11" borderId="14" xfId="0" applyFont="1" applyFill="1" applyBorder="1" applyAlignment="1">
      <alignment horizontal="center" vertical="center" wrapText="1"/>
    </xf>
    <xf numFmtId="9" fontId="4" fillId="11" borderId="14" xfId="0" applyNumberFormat="1" applyFont="1" applyFill="1" applyBorder="1" applyAlignment="1">
      <alignment horizontal="center" vertical="center" wrapText="1"/>
    </xf>
    <xf numFmtId="0" fontId="0" fillId="0" borderId="0" xfId="0" applyFill="1" applyBorder="1" applyAlignment="1">
      <alignment horizontal="left" vertical="center" wrapText="1"/>
    </xf>
    <xf numFmtId="0" fontId="56" fillId="0" borderId="0" xfId="0" applyFont="1" applyFill="1" applyBorder="1" applyAlignment="1">
      <alignment vertical="center" wrapText="1"/>
    </xf>
    <xf numFmtId="0" fontId="57" fillId="0" borderId="0" xfId="0" applyFont="1" applyFill="1" applyBorder="1" applyAlignment="1">
      <alignment horizontal="center" vertical="center" wrapText="1"/>
    </xf>
    <xf numFmtId="11" fontId="56" fillId="0" borderId="0" xfId="0" applyNumberFormat="1"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6" fillId="0" borderId="0" xfId="0" applyNumberFormat="1" applyFont="1" applyFill="1" applyBorder="1" applyAlignment="1">
      <alignment horizontal="center" vertical="center" wrapText="1"/>
    </xf>
    <xf numFmtId="1" fontId="10" fillId="34" borderId="10" xfId="0" applyNumberFormat="1" applyFont="1" applyFill="1" applyBorder="1" applyAlignment="1">
      <alignment horizontal="center" vertical="center" wrapText="1"/>
    </xf>
    <xf numFmtId="2" fontId="0" fillId="11" borderId="10" xfId="0" applyNumberFormat="1" applyFont="1" applyFill="1" applyBorder="1" applyAlignment="1">
      <alignment horizontal="center" vertical="center" wrapText="1"/>
    </xf>
    <xf numFmtId="176" fontId="0" fillId="11" borderId="10" xfId="0" applyNumberFormat="1" applyFont="1" applyFill="1" applyBorder="1" applyAlignment="1">
      <alignment horizontal="center" vertical="center" wrapText="1"/>
    </xf>
    <xf numFmtId="1" fontId="0" fillId="11" borderId="10" xfId="0" applyNumberFormat="1" applyFont="1" applyFill="1" applyBorder="1" applyAlignment="1">
      <alignment horizontal="center" vertical="center" wrapText="1"/>
    </xf>
    <xf numFmtId="176" fontId="10" fillId="11" borderId="10"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11" borderId="17"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2" fontId="58" fillId="34" borderId="10" xfId="0" applyNumberFormat="1" applyFont="1" applyFill="1" applyBorder="1" applyAlignment="1">
      <alignment horizontal="center" vertical="center" wrapText="1"/>
    </xf>
    <xf numFmtId="0" fontId="4" fillId="11" borderId="1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0"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left" vertical="center"/>
    </xf>
    <xf numFmtId="0" fontId="0" fillId="0" borderId="26" xfId="0" applyFont="1" applyFill="1" applyBorder="1" applyAlignment="1">
      <alignment vertical="center" wrapText="1"/>
    </xf>
    <xf numFmtId="0" fontId="0" fillId="0" borderId="24" xfId="0" applyFont="1" applyFill="1" applyBorder="1" applyAlignment="1">
      <alignment horizontal="left" vertical="center" wrapText="1"/>
    </xf>
    <xf numFmtId="9" fontId="0" fillId="0" borderId="24" xfId="0" applyNumberFormat="1" applyFont="1" applyFill="1" applyBorder="1" applyAlignment="1">
      <alignment horizontal="left" vertical="center" wrapText="1"/>
    </xf>
    <xf numFmtId="0" fontId="58" fillId="0" borderId="24" xfId="0" applyFont="1" applyFill="1" applyBorder="1" applyAlignment="1">
      <alignment horizontal="left" vertical="center" wrapText="1"/>
    </xf>
    <xf numFmtId="0" fontId="10" fillId="0" borderId="26" xfId="0" applyFont="1" applyFill="1" applyBorder="1" applyAlignment="1">
      <alignment vertical="center" wrapText="1"/>
    </xf>
    <xf numFmtId="0" fontId="10" fillId="0" borderId="24"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vertical="center" wrapText="1"/>
    </xf>
    <xf numFmtId="0" fontId="3" fillId="0" borderId="29" xfId="0" applyFont="1" applyFill="1" applyBorder="1" applyAlignment="1">
      <alignment horizontal="center" vertical="center" wrapText="1"/>
    </xf>
    <xf numFmtId="2" fontId="58" fillId="34" borderId="29" xfId="0" applyNumberFormat="1"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11" borderId="29" xfId="0" applyFont="1" applyFill="1" applyBorder="1" applyAlignment="1">
      <alignment horizontal="center" vertical="center" wrapText="1"/>
    </xf>
    <xf numFmtId="0" fontId="0" fillId="0" borderId="30" xfId="0" applyFont="1" applyFill="1" applyBorder="1" applyAlignment="1">
      <alignment horizontal="left" vertical="center" wrapText="1"/>
    </xf>
    <xf numFmtId="2" fontId="58" fillId="34" borderId="17" xfId="0" applyNumberFormat="1" applyFont="1" applyFill="1" applyBorder="1" applyAlignment="1">
      <alignment horizontal="center" vertical="center" wrapText="1"/>
    </xf>
    <xf numFmtId="0" fontId="4" fillId="11" borderId="17" xfId="0" applyFont="1" applyFill="1" applyBorder="1" applyAlignment="1">
      <alignment horizontal="center" vertical="center" wrapText="1"/>
    </xf>
    <xf numFmtId="178" fontId="0" fillId="11" borderId="17" xfId="0" applyNumberFormat="1"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2" xfId="0"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2" fontId="58" fillId="11"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59" fillId="0" borderId="24" xfId="0" applyFont="1" applyFill="1" applyBorder="1" applyAlignment="1">
      <alignment horizontal="left" vertical="center" wrapText="1"/>
    </xf>
    <xf numFmtId="9" fontId="59" fillId="0" borderId="24" xfId="0" applyNumberFormat="1" applyFont="1" applyFill="1" applyBorder="1" applyAlignment="1">
      <alignment horizontal="left" vertical="center" wrapText="1"/>
    </xf>
    <xf numFmtId="9" fontId="59" fillId="35" borderId="24" xfId="0" applyNumberFormat="1" applyFont="1" applyFill="1" applyBorder="1" applyAlignment="1">
      <alignment horizontal="left" vertical="center" wrapText="1"/>
    </xf>
    <xf numFmtId="0" fontId="59" fillId="35"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0" xfId="0" applyFont="1" applyFill="1" applyBorder="1" applyAlignment="1">
      <alignment vertical="center" wrapText="1"/>
    </xf>
    <xf numFmtId="0" fontId="59" fillId="35" borderId="10" xfId="0" applyFont="1" applyFill="1" applyBorder="1" applyAlignment="1">
      <alignment horizontal="left" vertical="center" wrapText="1"/>
    </xf>
    <xf numFmtId="2" fontId="4" fillId="11" borderId="10" xfId="0" applyNumberFormat="1"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4" xfId="0" applyFont="1" applyFill="1" applyBorder="1" applyAlignment="1">
      <alignment vertical="center" wrapText="1"/>
    </xf>
    <xf numFmtId="0" fontId="7" fillId="0" borderId="24" xfId="0" applyFont="1" applyFill="1" applyBorder="1" applyAlignment="1">
      <alignment vertical="center" wrapText="1"/>
    </xf>
    <xf numFmtId="0" fontId="7" fillId="0" borderId="35" xfId="0" applyFont="1" applyBorder="1" applyAlignment="1">
      <alignment horizontal="center" vertical="center" wrapText="1"/>
    </xf>
    <xf numFmtId="0" fontId="7" fillId="0" borderId="33" xfId="0" applyFont="1" applyBorder="1" applyAlignment="1">
      <alignment horizontal="center" vertical="center" wrapText="1"/>
    </xf>
    <xf numFmtId="0" fontId="6" fillId="0" borderId="19"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60"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84"/>
  <sheetViews>
    <sheetView showGridLines="0" tabSelected="1" zoomScalePageLayoutView="0" workbookViewId="0" topLeftCell="A1">
      <selection activeCell="D74" sqref="D74"/>
    </sheetView>
  </sheetViews>
  <sheetFormatPr defaultColWidth="9.140625" defaultRowHeight="12.75"/>
  <cols>
    <col min="1" max="1" width="1.8515625" style="8" customWidth="1"/>
    <col min="2" max="2" width="40.57421875" style="8" customWidth="1"/>
    <col min="3" max="3" width="14.57421875" style="9" customWidth="1"/>
    <col min="4" max="4" width="10.7109375" style="19" customWidth="1"/>
    <col min="5" max="5" width="7.140625" style="10" customWidth="1"/>
    <col min="6" max="6" width="8.57421875" style="18" customWidth="1"/>
    <col min="7" max="7" width="11.8515625" style="10" customWidth="1"/>
    <col min="8" max="8" width="10.8515625" style="10" customWidth="1"/>
    <col min="9" max="9" width="65.28125" style="10" customWidth="1"/>
    <col min="10" max="10" width="57.140625" style="43" customWidth="1"/>
    <col min="11" max="11" width="29.00390625" style="8" customWidth="1"/>
    <col min="12" max="16384" width="9.140625" style="8" customWidth="1"/>
  </cols>
  <sheetData>
    <row r="1" ht="13.5" thickBot="1"/>
    <row r="2" spans="2:10" s="11" customFormat="1" ht="24" thickBot="1">
      <c r="B2" s="109" t="s">
        <v>115</v>
      </c>
      <c r="C2" s="110"/>
      <c r="D2" s="110"/>
      <c r="E2" s="110"/>
      <c r="F2" s="111"/>
      <c r="G2" s="111"/>
      <c r="H2" s="111"/>
      <c r="I2" s="111"/>
      <c r="J2" s="112"/>
    </row>
    <row r="3" spans="2:10" s="11" customFormat="1" ht="18.75" thickBot="1">
      <c r="B3" s="116" t="s">
        <v>232</v>
      </c>
      <c r="C3" s="117"/>
      <c r="D3" s="117"/>
      <c r="E3" s="117"/>
      <c r="F3" s="117"/>
      <c r="G3" s="117"/>
      <c r="H3" s="117"/>
      <c r="I3" s="117"/>
      <c r="J3" s="118"/>
    </row>
    <row r="4" spans="2:10" s="13" customFormat="1" ht="48" thickBot="1">
      <c r="B4" s="61" t="s">
        <v>35</v>
      </c>
      <c r="C4" s="15" t="s">
        <v>0</v>
      </c>
      <c r="D4" s="37" t="s">
        <v>67</v>
      </c>
      <c r="E4" s="15" t="s">
        <v>1</v>
      </c>
      <c r="F4" s="21" t="s">
        <v>113</v>
      </c>
      <c r="G4" s="21" t="s">
        <v>114</v>
      </c>
      <c r="H4" s="21" t="s">
        <v>172</v>
      </c>
      <c r="I4" s="21"/>
      <c r="J4" s="62" t="s">
        <v>33</v>
      </c>
    </row>
    <row r="5" spans="2:10" s="14" customFormat="1" ht="15">
      <c r="B5" s="63"/>
      <c r="C5" s="27"/>
      <c r="D5" s="38"/>
      <c r="E5" s="17"/>
      <c r="F5" s="34"/>
      <c r="G5" s="17"/>
      <c r="H5" s="85"/>
      <c r="I5" s="85"/>
      <c r="J5" s="64" t="s">
        <v>79</v>
      </c>
    </row>
    <row r="6" spans="2:10" s="14" customFormat="1" ht="15">
      <c r="B6" s="65"/>
      <c r="C6" s="29"/>
      <c r="D6" s="39"/>
      <c r="E6" s="28"/>
      <c r="F6" s="35"/>
      <c r="G6" s="28"/>
      <c r="H6" s="86"/>
      <c r="I6" s="86"/>
      <c r="J6" s="66" t="s">
        <v>66</v>
      </c>
    </row>
    <row r="7" spans="2:10" s="14" customFormat="1" ht="15">
      <c r="B7" s="65"/>
      <c r="C7" s="16"/>
      <c r="D7" s="36"/>
      <c r="E7" s="16"/>
      <c r="F7" s="36"/>
      <c r="G7" s="16"/>
      <c r="H7" s="16"/>
      <c r="I7" s="16"/>
      <c r="J7" s="67"/>
    </row>
    <row r="8" spans="2:10" s="12" customFormat="1" ht="20.25">
      <c r="B8" s="103" t="s">
        <v>64</v>
      </c>
      <c r="C8" s="113"/>
      <c r="D8" s="113"/>
      <c r="E8" s="113"/>
      <c r="F8" s="114"/>
      <c r="G8" s="114"/>
      <c r="H8" s="114"/>
      <c r="I8" s="114"/>
      <c r="J8" s="115"/>
    </row>
    <row r="9" spans="2:10" s="5" customFormat="1" ht="30">
      <c r="B9" s="68" t="s">
        <v>80</v>
      </c>
      <c r="C9" s="3" t="s">
        <v>44</v>
      </c>
      <c r="D9" s="24">
        <v>24</v>
      </c>
      <c r="E9" s="4" t="s">
        <v>2</v>
      </c>
      <c r="F9" s="22"/>
      <c r="G9" s="22"/>
      <c r="H9" s="22" t="s">
        <v>233</v>
      </c>
      <c r="I9" s="92" t="s">
        <v>197</v>
      </c>
      <c r="J9" s="69" t="s">
        <v>117</v>
      </c>
    </row>
    <row r="10" spans="2:10" s="5" customFormat="1" ht="12.75">
      <c r="B10" s="68" t="s">
        <v>5</v>
      </c>
      <c r="C10" s="3" t="s">
        <v>39</v>
      </c>
      <c r="D10" s="1">
        <v>0.7</v>
      </c>
      <c r="E10" s="4" t="s">
        <v>3</v>
      </c>
      <c r="F10" s="22"/>
      <c r="G10" s="22"/>
      <c r="H10" s="22" t="s">
        <v>233</v>
      </c>
      <c r="I10" s="22"/>
      <c r="J10" s="69"/>
    </row>
    <row r="11" spans="2:10" s="5" customFormat="1" ht="12.75">
      <c r="B11" s="68" t="s">
        <v>12</v>
      </c>
      <c r="C11" s="3" t="s">
        <v>13</v>
      </c>
      <c r="D11" s="1">
        <v>132</v>
      </c>
      <c r="E11" s="4" t="s">
        <v>2</v>
      </c>
      <c r="F11" s="22"/>
      <c r="G11" s="22"/>
      <c r="H11" s="22" t="s">
        <v>233</v>
      </c>
      <c r="I11" s="22"/>
      <c r="J11" s="69"/>
    </row>
    <row r="12" spans="2:10" s="5" customFormat="1" ht="12.75">
      <c r="B12" s="68" t="s">
        <v>14</v>
      </c>
      <c r="C12" s="3" t="s">
        <v>15</v>
      </c>
      <c r="D12" s="1">
        <v>90</v>
      </c>
      <c r="E12" s="4" t="s">
        <v>2</v>
      </c>
      <c r="F12" s="22"/>
      <c r="G12" s="22"/>
      <c r="H12" s="22" t="s">
        <v>233</v>
      </c>
      <c r="I12" s="22"/>
      <c r="J12" s="69"/>
    </row>
    <row r="13" spans="2:10" s="5" customFormat="1" ht="12.75">
      <c r="B13" s="68" t="s">
        <v>17</v>
      </c>
      <c r="C13" s="3" t="s">
        <v>19</v>
      </c>
      <c r="D13" s="1">
        <v>57</v>
      </c>
      <c r="E13" s="4" t="s">
        <v>16</v>
      </c>
      <c r="F13" s="22"/>
      <c r="G13" s="22"/>
      <c r="H13" s="22" t="s">
        <v>233</v>
      </c>
      <c r="I13" s="22"/>
      <c r="J13" s="69"/>
    </row>
    <row r="14" spans="2:10" s="5" customFormat="1" ht="20.25" hidden="1">
      <c r="B14" s="103" t="s">
        <v>112</v>
      </c>
      <c r="C14" s="113"/>
      <c r="D14" s="113"/>
      <c r="E14" s="113"/>
      <c r="F14" s="114"/>
      <c r="G14" s="114"/>
      <c r="H14" s="114"/>
      <c r="I14" s="114"/>
      <c r="J14" s="115"/>
    </row>
    <row r="15" spans="2:10" s="5" customFormat="1" ht="12.75" hidden="1">
      <c r="B15" s="68" t="s">
        <v>55</v>
      </c>
      <c r="C15" s="3" t="s">
        <v>23</v>
      </c>
      <c r="D15" s="25">
        <v>0.7</v>
      </c>
      <c r="E15" s="4" t="s">
        <v>2</v>
      </c>
      <c r="F15" s="22"/>
      <c r="G15" s="22"/>
      <c r="H15" s="22"/>
      <c r="I15" s="22"/>
      <c r="J15" s="69" t="s">
        <v>66</v>
      </c>
    </row>
    <row r="16" spans="2:10" s="5" customFormat="1" ht="12.75" hidden="1">
      <c r="B16" s="68" t="s">
        <v>48</v>
      </c>
      <c r="C16" s="3" t="s">
        <v>49</v>
      </c>
      <c r="D16" s="25">
        <v>2.5</v>
      </c>
      <c r="E16" s="4" t="s">
        <v>50</v>
      </c>
      <c r="F16" s="22"/>
      <c r="G16" s="22"/>
      <c r="H16" s="22"/>
      <c r="I16" s="22"/>
      <c r="J16" s="69" t="s">
        <v>66</v>
      </c>
    </row>
    <row r="17" spans="2:10" s="5" customFormat="1" ht="12.75" hidden="1">
      <c r="B17" s="68" t="s">
        <v>81</v>
      </c>
      <c r="C17" s="3" t="s">
        <v>82</v>
      </c>
      <c r="D17" s="25">
        <v>15.6</v>
      </c>
      <c r="E17" s="4" t="s">
        <v>10</v>
      </c>
      <c r="F17" s="22"/>
      <c r="G17" s="22"/>
      <c r="H17" s="22"/>
      <c r="I17" s="22"/>
      <c r="J17" s="69" t="s">
        <v>66</v>
      </c>
    </row>
    <row r="18" spans="2:10" s="5" customFormat="1" ht="20.25">
      <c r="B18" s="103" t="s">
        <v>65</v>
      </c>
      <c r="C18" s="104"/>
      <c r="D18" s="104"/>
      <c r="E18" s="104"/>
      <c r="F18" s="105"/>
      <c r="G18" s="105"/>
      <c r="H18" s="105"/>
      <c r="I18" s="105"/>
      <c r="J18" s="106"/>
    </row>
    <row r="19" spans="2:10" s="5" customFormat="1" ht="48" customHeight="1">
      <c r="B19" s="68" t="s">
        <v>62</v>
      </c>
      <c r="C19" s="3" t="s">
        <v>40</v>
      </c>
      <c r="D19" s="1">
        <v>90</v>
      </c>
      <c r="E19" s="4" t="s">
        <v>2</v>
      </c>
      <c r="F19" s="22"/>
      <c r="G19" s="22"/>
      <c r="H19" s="22" t="s">
        <v>234</v>
      </c>
      <c r="I19" s="92" t="s">
        <v>235</v>
      </c>
      <c r="J19" s="69" t="s">
        <v>76</v>
      </c>
    </row>
    <row r="20" spans="2:10" s="5" customFormat="1" ht="48" customHeight="1">
      <c r="B20" s="68" t="s">
        <v>129</v>
      </c>
      <c r="C20" s="3" t="s">
        <v>128</v>
      </c>
      <c r="D20" s="1">
        <v>200</v>
      </c>
      <c r="E20" s="4" t="s">
        <v>2</v>
      </c>
      <c r="F20" s="22"/>
      <c r="G20" s="22"/>
      <c r="H20" s="22" t="s">
        <v>173</v>
      </c>
      <c r="I20" s="92" t="s">
        <v>198</v>
      </c>
      <c r="J20" s="69" t="s">
        <v>130</v>
      </c>
    </row>
    <row r="21" spans="2:10" s="5" customFormat="1" ht="25.5">
      <c r="B21" s="68" t="s">
        <v>63</v>
      </c>
      <c r="C21" s="3" t="s">
        <v>34</v>
      </c>
      <c r="D21" s="1">
        <v>1</v>
      </c>
      <c r="E21" s="4" t="s">
        <v>10</v>
      </c>
      <c r="F21" s="22"/>
      <c r="G21" s="22"/>
      <c r="H21" s="22">
        <v>1</v>
      </c>
      <c r="I21" s="92" t="s">
        <v>199</v>
      </c>
      <c r="J21" s="69" t="s">
        <v>77</v>
      </c>
    </row>
    <row r="22" spans="2:10" s="5" customFormat="1" ht="47.25" customHeight="1">
      <c r="B22" s="68" t="s">
        <v>93</v>
      </c>
      <c r="C22" s="3" t="s">
        <v>36</v>
      </c>
      <c r="D22" s="1">
        <v>60</v>
      </c>
      <c r="E22" s="4" t="s">
        <v>22</v>
      </c>
      <c r="F22" s="22"/>
      <c r="G22" s="22"/>
      <c r="H22" s="22">
        <v>75</v>
      </c>
      <c r="I22" s="92" t="s">
        <v>243</v>
      </c>
      <c r="J22" s="69" t="s">
        <v>85</v>
      </c>
    </row>
    <row r="23" spans="2:10" s="5" customFormat="1" ht="15">
      <c r="B23" s="68" t="s">
        <v>61</v>
      </c>
      <c r="C23" s="3" t="s">
        <v>18</v>
      </c>
      <c r="D23" s="2">
        <v>0.82</v>
      </c>
      <c r="E23" s="4"/>
      <c r="F23" s="22"/>
      <c r="G23" s="22"/>
      <c r="H23" s="23" t="s">
        <v>194</v>
      </c>
      <c r="I23" s="92" t="s">
        <v>200</v>
      </c>
      <c r="J23" s="69"/>
    </row>
    <row r="24" spans="2:10" s="5" customFormat="1" ht="15">
      <c r="B24" s="68" t="s">
        <v>54</v>
      </c>
      <c r="C24" s="3" t="s">
        <v>51</v>
      </c>
      <c r="D24" s="6">
        <v>0.95</v>
      </c>
      <c r="E24" s="4"/>
      <c r="F24" s="22"/>
      <c r="G24" s="22"/>
      <c r="H24" s="23" t="s">
        <v>195</v>
      </c>
      <c r="I24" s="92" t="s">
        <v>201</v>
      </c>
      <c r="J24" s="69" t="s">
        <v>78</v>
      </c>
    </row>
    <row r="25" spans="2:10" s="5" customFormat="1" ht="20.25">
      <c r="B25" s="103" t="s">
        <v>136</v>
      </c>
      <c r="C25" s="104"/>
      <c r="D25" s="104"/>
      <c r="E25" s="104"/>
      <c r="F25" s="105"/>
      <c r="G25" s="105"/>
      <c r="H25" s="105"/>
      <c r="I25" s="105"/>
      <c r="J25" s="106"/>
    </row>
    <row r="26" spans="2:10" s="5" customFormat="1" ht="15">
      <c r="B26" s="68" t="s">
        <v>37</v>
      </c>
      <c r="C26" s="3" t="s">
        <v>38</v>
      </c>
      <c r="D26" s="1">
        <v>0.5</v>
      </c>
      <c r="E26" s="4" t="s">
        <v>2</v>
      </c>
      <c r="F26" s="22"/>
      <c r="G26" s="22"/>
      <c r="H26" s="22">
        <v>0.5</v>
      </c>
      <c r="I26" s="92" t="s">
        <v>236</v>
      </c>
      <c r="J26" s="69" t="s">
        <v>116</v>
      </c>
    </row>
    <row r="27" spans="2:10" s="5" customFormat="1" ht="25.5">
      <c r="B27" s="68" t="s">
        <v>28</v>
      </c>
      <c r="C27" s="3" t="s">
        <v>26</v>
      </c>
      <c r="D27" s="1">
        <v>64</v>
      </c>
      <c r="E27" s="4" t="s">
        <v>27</v>
      </c>
      <c r="F27" s="22"/>
      <c r="G27" s="22"/>
      <c r="H27" s="22" t="s">
        <v>174</v>
      </c>
      <c r="I27" s="22" t="s">
        <v>237</v>
      </c>
      <c r="J27" s="69"/>
    </row>
    <row r="28" spans="2:10" s="5" customFormat="1" ht="15">
      <c r="B28" s="68" t="s">
        <v>46</v>
      </c>
      <c r="C28" s="3" t="s">
        <v>29</v>
      </c>
      <c r="D28" s="1">
        <v>300</v>
      </c>
      <c r="E28" s="4" t="s">
        <v>30</v>
      </c>
      <c r="F28" s="22"/>
      <c r="G28" s="22"/>
      <c r="H28" s="22">
        <v>300</v>
      </c>
      <c r="I28" s="92" t="s">
        <v>202</v>
      </c>
      <c r="J28" s="69"/>
    </row>
    <row r="29" spans="2:10" s="5" customFormat="1" ht="20.25">
      <c r="B29" s="100" t="s">
        <v>68</v>
      </c>
      <c r="C29" s="107"/>
      <c r="D29" s="107"/>
      <c r="E29" s="107"/>
      <c r="F29" s="107"/>
      <c r="G29" s="107"/>
      <c r="H29" s="107"/>
      <c r="I29" s="107"/>
      <c r="J29" s="108"/>
    </row>
    <row r="30" spans="2:10" s="5" customFormat="1" ht="15">
      <c r="B30" s="68" t="s">
        <v>4</v>
      </c>
      <c r="C30" s="3" t="s">
        <v>7</v>
      </c>
      <c r="D30" s="26">
        <f>Iout_nom*Vout_pcb</f>
        <v>16.799999999999997</v>
      </c>
      <c r="E30" s="7" t="s">
        <v>6</v>
      </c>
      <c r="F30" s="23" t="s">
        <v>121</v>
      </c>
      <c r="G30" s="23"/>
      <c r="H30" s="23"/>
      <c r="I30" s="93" t="s">
        <v>118</v>
      </c>
      <c r="J30" s="70" t="s">
        <v>118</v>
      </c>
    </row>
    <row r="31" spans="2:10" s="5" customFormat="1" ht="15">
      <c r="B31" s="68" t="s">
        <v>8</v>
      </c>
      <c r="C31" s="3" t="s">
        <v>11</v>
      </c>
      <c r="D31" s="51">
        <f>Pout_max/ηp</f>
        <v>20.487804878048777</v>
      </c>
      <c r="E31" s="4" t="s">
        <v>6</v>
      </c>
      <c r="F31" s="23" t="s">
        <v>121</v>
      </c>
      <c r="G31" s="22"/>
      <c r="H31" s="22"/>
      <c r="I31" s="92" t="s">
        <v>119</v>
      </c>
      <c r="J31" s="69" t="s">
        <v>119</v>
      </c>
    </row>
    <row r="32" spans="2:10" s="5" customFormat="1" ht="30.75">
      <c r="B32" s="68" t="s">
        <v>41</v>
      </c>
      <c r="C32" s="3" t="s">
        <v>42</v>
      </c>
      <c r="D32" s="52">
        <f>1000000*2*Pin_max*(0.25+1/2/3.14*ASIN(Vindc_min/SQRT(2)/Vac_min))/fmin/(2*Vac_min^2-Vindc_min^2)</f>
        <v>33.28666143937827</v>
      </c>
      <c r="E32" s="4" t="s">
        <v>20</v>
      </c>
      <c r="F32" s="23" t="s">
        <v>121</v>
      </c>
      <c r="G32" s="22"/>
      <c r="H32" s="22"/>
      <c r="I32" s="92" t="s">
        <v>238</v>
      </c>
      <c r="J32" s="69" t="s">
        <v>175</v>
      </c>
    </row>
    <row r="33" spans="2:10" s="5" customFormat="1" ht="25.5">
      <c r="B33" s="68" t="s">
        <v>72</v>
      </c>
      <c r="C33" s="3" t="s">
        <v>69</v>
      </c>
      <c r="D33" s="1">
        <v>22</v>
      </c>
      <c r="E33" s="7" t="s">
        <v>20</v>
      </c>
      <c r="F33" s="42" t="str">
        <f>IF(D33&gt;Cbulk_min*0.9,"PASS","FAIL")</f>
        <v>FAIL</v>
      </c>
      <c r="G33" s="23" t="s">
        <v>176</v>
      </c>
      <c r="H33" s="23"/>
      <c r="I33" s="93" t="s">
        <v>203</v>
      </c>
      <c r="J33" s="70"/>
    </row>
    <row r="34" spans="2:10" s="5" customFormat="1" ht="30.75">
      <c r="B34" s="68" t="s">
        <v>152</v>
      </c>
      <c r="C34" s="3" t="s">
        <v>45</v>
      </c>
      <c r="D34" s="52">
        <f>1/fsw_lf/(1/Vindc_min+1/Ntr/(Vout_pcb+Vfd))*1000</f>
        <v>635.4466858789626</v>
      </c>
      <c r="E34" s="4" t="s">
        <v>9</v>
      </c>
      <c r="F34" s="41" t="str">
        <f>IF(VTmax&lt;1200,"PASS","FAIL")</f>
        <v>PASS</v>
      </c>
      <c r="G34" s="22" t="s">
        <v>120</v>
      </c>
      <c r="H34" s="22"/>
      <c r="I34" s="92" t="s">
        <v>239</v>
      </c>
      <c r="J34" s="69" t="s">
        <v>153</v>
      </c>
    </row>
    <row r="35" spans="2:10" s="5" customFormat="1" ht="30.75">
      <c r="B35" s="68" t="s">
        <v>32</v>
      </c>
      <c r="C35" s="3" t="s">
        <v>59</v>
      </c>
      <c r="D35" s="52">
        <f>VTmax/Bmax/Ae*1000</f>
        <v>33.09618155619597</v>
      </c>
      <c r="E35" s="4" t="s">
        <v>47</v>
      </c>
      <c r="F35" s="22" t="s">
        <v>121</v>
      </c>
      <c r="G35" s="22"/>
      <c r="H35" s="22"/>
      <c r="I35" s="92" t="s">
        <v>241</v>
      </c>
      <c r="J35" s="69"/>
    </row>
    <row r="36" spans="2:10" s="5" customFormat="1" ht="30">
      <c r="B36" s="68" t="s">
        <v>70</v>
      </c>
      <c r="C36" s="3" t="s">
        <v>31</v>
      </c>
      <c r="D36" s="40">
        <v>35</v>
      </c>
      <c r="E36" s="4"/>
      <c r="F36" s="42" t="str">
        <f>IF(D36&gt;Np_min,"PASS","FAIL")</f>
        <v>PASS</v>
      </c>
      <c r="G36" s="23" t="s">
        <v>151</v>
      </c>
      <c r="H36" s="23"/>
      <c r="I36" s="92" t="s">
        <v>247</v>
      </c>
      <c r="J36" s="69"/>
    </row>
    <row r="37" spans="2:10" s="5" customFormat="1" ht="25.5">
      <c r="B37" s="68" t="s">
        <v>52</v>
      </c>
      <c r="C37" s="3" t="s">
        <v>53</v>
      </c>
      <c r="D37" s="51">
        <f>(Vout_pcb+Vfd)*Iout_nom/ηpxfm</f>
        <v>18.052631578947366</v>
      </c>
      <c r="E37" s="4" t="s">
        <v>6</v>
      </c>
      <c r="F37" s="22" t="s">
        <v>121</v>
      </c>
      <c r="G37" s="22"/>
      <c r="H37" s="22"/>
      <c r="I37" s="22"/>
      <c r="J37" s="69"/>
    </row>
    <row r="38" spans="2:10" s="5" customFormat="1" ht="15.75" customHeight="1">
      <c r="B38" s="68" t="s">
        <v>179</v>
      </c>
      <c r="C38" s="3" t="s">
        <v>171</v>
      </c>
      <c r="D38" s="51">
        <f>(VTmax*0.000001)^2*fsw_lf*1000/2/Pxfmr*1000</f>
        <v>0.6710254216877478</v>
      </c>
      <c r="E38" s="4" t="s">
        <v>21</v>
      </c>
      <c r="F38" s="22"/>
      <c r="G38" s="22"/>
      <c r="H38" s="22"/>
      <c r="I38" s="92" t="s">
        <v>204</v>
      </c>
      <c r="J38" s="69"/>
    </row>
    <row r="39" spans="2:10" s="5" customFormat="1" ht="16.5" customHeight="1">
      <c r="B39" s="68" t="s">
        <v>57</v>
      </c>
      <c r="C39" s="3" t="s">
        <v>25</v>
      </c>
      <c r="D39" s="51">
        <f>2*Pxfmr/fsw_lf/(1.8/Ris)^2</f>
        <v>0.3054843749999999</v>
      </c>
      <c r="E39" s="4" t="s">
        <v>21</v>
      </c>
      <c r="F39" s="22" t="s">
        <v>121</v>
      </c>
      <c r="G39" s="22"/>
      <c r="H39" s="22"/>
      <c r="I39" s="92" t="s">
        <v>242</v>
      </c>
      <c r="J39" s="71" t="s">
        <v>86</v>
      </c>
    </row>
    <row r="40" spans="2:10" s="5" customFormat="1" ht="85.5" customHeight="1">
      <c r="B40" s="68" t="s">
        <v>83</v>
      </c>
      <c r="C40" s="3" t="s">
        <v>126</v>
      </c>
      <c r="D40" s="59">
        <v>0.6</v>
      </c>
      <c r="E40" s="4" t="s">
        <v>21</v>
      </c>
      <c r="F40" s="60" t="str">
        <f>IF(D40&gt;Lm_min,"PASS","FAIL")</f>
        <v>PASS</v>
      </c>
      <c r="G40" s="4" t="s">
        <v>183</v>
      </c>
      <c r="H40" s="22"/>
      <c r="I40" s="92" t="s">
        <v>205</v>
      </c>
      <c r="J40" s="69" t="s">
        <v>182</v>
      </c>
    </row>
    <row r="41" spans="2:10" s="5" customFormat="1" ht="42.75" customHeight="1">
      <c r="B41" s="68" t="s">
        <v>122</v>
      </c>
      <c r="C41" s="3" t="s">
        <v>123</v>
      </c>
      <c r="D41" s="30">
        <v>150</v>
      </c>
      <c r="E41" s="4" t="s">
        <v>22</v>
      </c>
      <c r="F41" s="22"/>
      <c r="G41" s="22"/>
      <c r="H41" s="22">
        <v>150</v>
      </c>
      <c r="I41" s="92" t="s">
        <v>240</v>
      </c>
      <c r="J41" s="71" t="s">
        <v>131</v>
      </c>
    </row>
    <row r="42" spans="2:10" s="5" customFormat="1" ht="45" customHeight="1">
      <c r="B42" s="68" t="s">
        <v>92</v>
      </c>
      <c r="C42" s="3" t="s">
        <v>90</v>
      </c>
      <c r="D42" s="53">
        <f>1/D80/1000</f>
        <v>64.94136416578442</v>
      </c>
      <c r="E42" s="4" t="s">
        <v>22</v>
      </c>
      <c r="F42" s="41" t="str">
        <f>IF(fs_lm&lt;120,"PASS","FAIL")</f>
        <v>PASS</v>
      </c>
      <c r="G42" s="22" t="s">
        <v>230</v>
      </c>
      <c r="H42" s="22"/>
      <c r="I42" s="92" t="s">
        <v>248</v>
      </c>
      <c r="J42" s="71" t="s">
        <v>157</v>
      </c>
    </row>
    <row r="43" spans="2:10" s="5" customFormat="1" ht="34.5" customHeight="1">
      <c r="B43" s="68" t="s">
        <v>154</v>
      </c>
      <c r="C43" s="3" t="s">
        <v>155</v>
      </c>
      <c r="D43" s="52">
        <f>1/fs_lm/(1/Vindc_min+1/Ntr/(Vout_pcb+Vfd))*1000</f>
        <v>587.0957846744091</v>
      </c>
      <c r="E43" s="4" t="s">
        <v>9</v>
      </c>
      <c r="F43" s="41" t="str">
        <f>IF(Vtmax_after&lt;1200,"PASS","FAIL")</f>
        <v>PASS</v>
      </c>
      <c r="G43" s="22" t="s">
        <v>120</v>
      </c>
      <c r="H43" s="22"/>
      <c r="I43" s="92" t="s">
        <v>206</v>
      </c>
      <c r="J43" s="69" t="s">
        <v>156</v>
      </c>
    </row>
    <row r="44" spans="2:10" s="5" customFormat="1" ht="21" customHeight="1">
      <c r="B44" s="68" t="s">
        <v>97</v>
      </c>
      <c r="C44" s="3" t="s">
        <v>98</v>
      </c>
      <c r="D44" s="52">
        <f>1000000*SQRT(Pxfmr*2*D66*0.001/D42/1000)/Vindc_min</f>
        <v>6.4173787154024975</v>
      </c>
      <c r="E44" s="4" t="s">
        <v>10</v>
      </c>
      <c r="F44" s="22" t="s">
        <v>121</v>
      </c>
      <c r="G44" s="22"/>
      <c r="H44" s="22"/>
      <c r="I44" s="22"/>
      <c r="J44" s="71" t="s">
        <v>110</v>
      </c>
    </row>
    <row r="45" spans="2:10" s="5" customFormat="1" ht="30.75">
      <c r="B45" s="68" t="s">
        <v>124</v>
      </c>
      <c r="C45" s="3" t="s">
        <v>125</v>
      </c>
      <c r="D45" s="52">
        <f>1000000*SQRT(Pxfmr*0.25*2*Lm_sel*0.001/fs_25_lm/1000)/Vindc_min</f>
        <v>2.1112649990080326</v>
      </c>
      <c r="E45" s="4" t="s">
        <v>10</v>
      </c>
      <c r="F45" s="41" t="str">
        <f>IF(Ton_25_lm&gt;0.65,"PASS","FAIL")</f>
        <v>PASS</v>
      </c>
      <c r="G45" s="22" t="s">
        <v>229</v>
      </c>
      <c r="H45" s="22"/>
      <c r="I45" s="92" t="s">
        <v>250</v>
      </c>
      <c r="J45" s="71" t="s">
        <v>127</v>
      </c>
    </row>
    <row r="46" spans="2:10" s="5" customFormat="1" ht="46.5">
      <c r="B46" s="68" t="s">
        <v>132</v>
      </c>
      <c r="C46" s="3" t="s">
        <v>96</v>
      </c>
      <c r="D46" s="53">
        <f>1/D84/1000</f>
        <v>107.98749184916949</v>
      </c>
      <c r="E46" s="4" t="s">
        <v>22</v>
      </c>
      <c r="F46" s="41" t="str">
        <f>IF(fs_hi&lt;200,"PASS","FAIL")</f>
        <v>PASS</v>
      </c>
      <c r="G46" s="22" t="s">
        <v>231</v>
      </c>
      <c r="H46" s="22"/>
      <c r="I46" s="92" t="s">
        <v>249</v>
      </c>
      <c r="J46" s="71" t="s">
        <v>133</v>
      </c>
    </row>
    <row r="47" spans="2:10" s="5" customFormat="1" ht="39" customHeight="1">
      <c r="B47" s="68" t="s">
        <v>99</v>
      </c>
      <c r="C47" s="3" t="s">
        <v>100</v>
      </c>
      <c r="D47" s="52">
        <f>1000000*SQRT(Pxfmr*2*D66*0.001/D46/1000)/Vindc_hi</f>
        <v>2.2394643834158727</v>
      </c>
      <c r="E47" s="4" t="s">
        <v>10</v>
      </c>
      <c r="F47" s="22" t="s">
        <v>121</v>
      </c>
      <c r="G47" s="22"/>
      <c r="H47" s="22"/>
      <c r="I47" s="92" t="s">
        <v>207</v>
      </c>
      <c r="J47" s="71" t="s">
        <v>111</v>
      </c>
    </row>
    <row r="48" spans="2:10" s="5" customFormat="1" ht="75.75">
      <c r="B48" s="68" t="s">
        <v>124</v>
      </c>
      <c r="C48" s="3" t="s">
        <v>134</v>
      </c>
      <c r="D48" s="52">
        <f>1000000*SQRT(Pxfmr*0.25*2*D66*0.001/200/1000)/Vindc_hi</f>
        <v>0.8227841054678475</v>
      </c>
      <c r="E48" s="4" t="s">
        <v>10</v>
      </c>
      <c r="F48" s="41" t="str">
        <f>IF(Ton_25_hi&gt;0.65,"PASS","FAIL")</f>
        <v>PASS</v>
      </c>
      <c r="G48" s="22" t="s">
        <v>229</v>
      </c>
      <c r="H48" s="22"/>
      <c r="I48" s="92" t="s">
        <v>252</v>
      </c>
      <c r="J48" s="71" t="s">
        <v>196</v>
      </c>
    </row>
    <row r="49" spans="2:10" s="5" customFormat="1" ht="45" customHeight="1">
      <c r="B49" s="72" t="s">
        <v>135</v>
      </c>
      <c r="C49" s="31" t="s">
        <v>138</v>
      </c>
      <c r="D49" s="50">
        <v>600</v>
      </c>
      <c r="E49" s="32" t="s">
        <v>2</v>
      </c>
      <c r="F49" s="22" t="s">
        <v>121</v>
      </c>
      <c r="G49" s="33"/>
      <c r="H49" s="33" t="s">
        <v>184</v>
      </c>
      <c r="I49" s="92" t="s">
        <v>208</v>
      </c>
      <c r="J49" s="73" t="s">
        <v>101</v>
      </c>
    </row>
    <row r="50" spans="2:10" s="5" customFormat="1" ht="45" customHeight="1">
      <c r="B50" s="72" t="s">
        <v>102</v>
      </c>
      <c r="C50" s="31" t="s">
        <v>137</v>
      </c>
      <c r="D50" s="20">
        <v>80</v>
      </c>
      <c r="E50" s="32" t="s">
        <v>2</v>
      </c>
      <c r="F50" s="22" t="s">
        <v>121</v>
      </c>
      <c r="G50" s="33"/>
      <c r="H50" s="33">
        <v>80</v>
      </c>
      <c r="I50" s="92" t="s">
        <v>209</v>
      </c>
      <c r="J50" s="73" t="s">
        <v>103</v>
      </c>
    </row>
    <row r="51" spans="2:10" s="5" customFormat="1" ht="21.75" customHeight="1">
      <c r="B51" s="72" t="s">
        <v>140</v>
      </c>
      <c r="C51" s="31" t="s">
        <v>141</v>
      </c>
      <c r="D51" s="20">
        <v>0.9</v>
      </c>
      <c r="E51" s="32"/>
      <c r="F51" s="22"/>
      <c r="G51" s="33"/>
      <c r="H51" s="33">
        <v>0.9</v>
      </c>
      <c r="I51" s="92" t="s">
        <v>210</v>
      </c>
      <c r="J51" s="73" t="s">
        <v>142</v>
      </c>
    </row>
    <row r="52" spans="2:10" s="5" customFormat="1" ht="87.75" customHeight="1">
      <c r="B52" s="68" t="s">
        <v>185</v>
      </c>
      <c r="C52" s="3" t="s">
        <v>186</v>
      </c>
      <c r="D52" s="30">
        <v>70</v>
      </c>
      <c r="E52" s="4" t="s">
        <v>2</v>
      </c>
      <c r="F52" s="91"/>
      <c r="G52" s="22"/>
      <c r="H52" s="22">
        <v>70</v>
      </c>
      <c r="I52" s="92" t="s">
        <v>211</v>
      </c>
      <c r="J52" s="71" t="s">
        <v>191</v>
      </c>
    </row>
    <row r="53" spans="2:10" s="5" customFormat="1" ht="15">
      <c r="B53" s="68" t="s">
        <v>190</v>
      </c>
      <c r="C53" s="3" t="s">
        <v>192</v>
      </c>
      <c r="D53" s="52">
        <f>D52/(Vout_pcb+Vfd)</f>
        <v>2.857142857142857</v>
      </c>
      <c r="E53" s="4"/>
      <c r="F53" s="91"/>
      <c r="G53" s="22"/>
      <c r="H53" s="22"/>
      <c r="I53" s="92" t="s">
        <v>212</v>
      </c>
      <c r="J53" s="71"/>
    </row>
    <row r="54" spans="2:10" s="5" customFormat="1" ht="38.25">
      <c r="B54" s="68" t="s">
        <v>71</v>
      </c>
      <c r="C54" s="3" t="s">
        <v>43</v>
      </c>
      <c r="D54" s="1">
        <v>2.7</v>
      </c>
      <c r="E54" s="4"/>
      <c r="F54" s="41" t="str">
        <f>IF(AND((Ntr&lt;(Ntr_est+0.5)),(Ntr&gt;(Ntr_est-0.5)),Ntr&gt;0),"PASS","FAIL")</f>
        <v>PASS</v>
      </c>
      <c r="G54" s="22" t="s">
        <v>193</v>
      </c>
      <c r="H54" s="22"/>
      <c r="I54" s="92" t="s">
        <v>213</v>
      </c>
      <c r="J54" s="69"/>
    </row>
    <row r="55" spans="2:10" s="5" customFormat="1" ht="48">
      <c r="B55" s="72" t="s">
        <v>104</v>
      </c>
      <c r="C55" s="31" t="s">
        <v>139</v>
      </c>
      <c r="D55" s="54">
        <f>Vac_max*1.414+(Vout_pcb+Vfd)*Ntr+Vspike_mos</f>
        <v>332.798</v>
      </c>
      <c r="E55" s="32" t="s">
        <v>2</v>
      </c>
      <c r="F55" s="41" t="str">
        <f>IF(D55&lt;Derating_mos*Vds_rating_mos,"PASS","FAIL")</f>
        <v>PASS</v>
      </c>
      <c r="G55" s="33" t="s">
        <v>143</v>
      </c>
      <c r="H55" s="33"/>
      <c r="I55" s="92" t="s">
        <v>253</v>
      </c>
      <c r="J55" s="74"/>
    </row>
    <row r="56" spans="2:10" s="5" customFormat="1" ht="15">
      <c r="B56" s="72" t="s">
        <v>148</v>
      </c>
      <c r="C56" s="31" t="s">
        <v>144</v>
      </c>
      <c r="D56" s="20">
        <v>150</v>
      </c>
      <c r="E56" s="32" t="s">
        <v>2</v>
      </c>
      <c r="F56" s="22" t="s">
        <v>121</v>
      </c>
      <c r="G56" s="33"/>
      <c r="H56" s="33"/>
      <c r="I56" s="92" t="s">
        <v>214</v>
      </c>
      <c r="J56" s="74" t="s">
        <v>105</v>
      </c>
    </row>
    <row r="57" spans="2:10" s="5" customFormat="1" ht="15">
      <c r="B57" s="72" t="s">
        <v>106</v>
      </c>
      <c r="C57" s="31" t="s">
        <v>145</v>
      </c>
      <c r="D57" s="20">
        <v>5</v>
      </c>
      <c r="E57" s="32" t="s">
        <v>2</v>
      </c>
      <c r="F57" s="22" t="s">
        <v>121</v>
      </c>
      <c r="G57" s="33"/>
      <c r="H57" s="33">
        <v>5</v>
      </c>
      <c r="I57" s="92" t="s">
        <v>215</v>
      </c>
      <c r="J57" s="73" t="s">
        <v>107</v>
      </c>
    </row>
    <row r="58" spans="2:10" s="5" customFormat="1" ht="15">
      <c r="B58" s="72" t="s">
        <v>149</v>
      </c>
      <c r="C58" s="31" t="s">
        <v>146</v>
      </c>
      <c r="D58" s="20">
        <v>0.8</v>
      </c>
      <c r="E58" s="32"/>
      <c r="F58" s="22"/>
      <c r="G58" s="33"/>
      <c r="H58" s="33">
        <v>0.8</v>
      </c>
      <c r="I58" s="92" t="s">
        <v>216</v>
      </c>
      <c r="J58" s="73" t="s">
        <v>147</v>
      </c>
    </row>
    <row r="59" spans="2:10" s="5" customFormat="1" ht="48">
      <c r="B59" s="72" t="s">
        <v>108</v>
      </c>
      <c r="C59" s="31" t="s">
        <v>109</v>
      </c>
      <c r="D59" s="54">
        <f>Vac_max*1.414/Ntr+Vout_pcb+Vspike_rect</f>
        <v>98.12888888888888</v>
      </c>
      <c r="E59" s="32" t="s">
        <v>2</v>
      </c>
      <c r="F59" s="41" t="str">
        <f>IF(D59&lt;Derating_rect*Vd_rating_rect,"PASS","FAIL")</f>
        <v>PASS</v>
      </c>
      <c r="G59" s="33" t="s">
        <v>150</v>
      </c>
      <c r="H59" s="33"/>
      <c r="I59" s="92" t="s">
        <v>251</v>
      </c>
      <c r="J59" s="74"/>
    </row>
    <row r="60" spans="2:10" s="5" customFormat="1" ht="20.25">
      <c r="B60" s="100" t="s">
        <v>60</v>
      </c>
      <c r="C60" s="101"/>
      <c r="D60" s="101"/>
      <c r="E60" s="101"/>
      <c r="F60" s="101"/>
      <c r="G60" s="101"/>
      <c r="H60" s="101"/>
      <c r="I60" s="101"/>
      <c r="J60" s="102"/>
    </row>
    <row r="61" spans="2:10" s="5" customFormat="1" ht="15">
      <c r="B61" s="68" t="s">
        <v>177</v>
      </c>
      <c r="C61" s="3" t="s">
        <v>178</v>
      </c>
      <c r="D61" s="26">
        <f>D33</f>
        <v>22</v>
      </c>
      <c r="E61" s="7" t="s">
        <v>20</v>
      </c>
      <c r="F61" s="88"/>
      <c r="G61" s="23"/>
      <c r="H61" s="23"/>
      <c r="I61" s="94" t="s">
        <v>219</v>
      </c>
      <c r="J61" s="70"/>
    </row>
    <row r="62" spans="2:10" s="5" customFormat="1" ht="15">
      <c r="B62" s="68" t="s">
        <v>188</v>
      </c>
      <c r="C62" s="3" t="s">
        <v>187</v>
      </c>
      <c r="D62" s="26">
        <f>D54</f>
        <v>2.7</v>
      </c>
      <c r="E62" s="4"/>
      <c r="F62" s="22" t="s">
        <v>121</v>
      </c>
      <c r="G62" s="22"/>
      <c r="H62" s="22"/>
      <c r="I62" s="95" t="s">
        <v>220</v>
      </c>
      <c r="J62" s="69"/>
    </row>
    <row r="63" spans="2:10" s="5" customFormat="1" ht="15">
      <c r="B63" s="68" t="s">
        <v>70</v>
      </c>
      <c r="C63" s="3" t="s">
        <v>189</v>
      </c>
      <c r="D63" s="53">
        <f>D36</f>
        <v>35</v>
      </c>
      <c r="E63" s="4"/>
      <c r="F63" s="88"/>
      <c r="G63" s="23"/>
      <c r="H63" s="23"/>
      <c r="I63" s="95" t="s">
        <v>221</v>
      </c>
      <c r="J63" s="69"/>
    </row>
    <row r="64" spans="2:10" s="5" customFormat="1" ht="15">
      <c r="B64" s="68" t="s">
        <v>73</v>
      </c>
      <c r="C64" s="3" t="s">
        <v>58</v>
      </c>
      <c r="D64" s="52">
        <f>Np/Ntr</f>
        <v>12.962962962962962</v>
      </c>
      <c r="E64" s="4"/>
      <c r="F64" s="22" t="s">
        <v>121</v>
      </c>
      <c r="G64" s="22"/>
      <c r="H64" s="22"/>
      <c r="I64" s="95" t="s">
        <v>222</v>
      </c>
      <c r="J64" s="69" t="s">
        <v>74</v>
      </c>
    </row>
    <row r="65" spans="2:10" s="5" customFormat="1" ht="15">
      <c r="B65" s="68" t="s">
        <v>75</v>
      </c>
      <c r="C65" s="3" t="s">
        <v>56</v>
      </c>
      <c r="D65" s="26">
        <f>Ntr*Kcc*ηpxfm/2/Iout_nom</f>
        <v>1.2825</v>
      </c>
      <c r="E65" s="4" t="s">
        <v>24</v>
      </c>
      <c r="F65" s="22" t="s">
        <v>121</v>
      </c>
      <c r="G65" s="22"/>
      <c r="H65" s="22"/>
      <c r="I65" s="95" t="s">
        <v>223</v>
      </c>
      <c r="J65" s="69" t="s">
        <v>84</v>
      </c>
    </row>
    <row r="66" spans="2:10" s="5" customFormat="1" ht="15">
      <c r="B66" s="97" t="s">
        <v>181</v>
      </c>
      <c r="C66" s="3" t="s">
        <v>180</v>
      </c>
      <c r="D66" s="90">
        <f>D40</f>
        <v>0.6</v>
      </c>
      <c r="E66" s="4" t="s">
        <v>21</v>
      </c>
      <c r="F66" s="89"/>
      <c r="G66" s="4"/>
      <c r="H66" s="4"/>
      <c r="I66" s="98" t="s">
        <v>224</v>
      </c>
      <c r="J66" s="96"/>
    </row>
    <row r="67" spans="2:10" s="5" customFormat="1" ht="15">
      <c r="B67" s="68" t="s">
        <v>226</v>
      </c>
      <c r="C67" s="3" t="s">
        <v>162</v>
      </c>
      <c r="D67" s="99">
        <f>D70</f>
        <v>8</v>
      </c>
      <c r="E67" s="4"/>
      <c r="F67" s="89"/>
      <c r="G67" s="4"/>
      <c r="H67" s="4"/>
      <c r="I67" s="95" t="s">
        <v>225</v>
      </c>
      <c r="J67" s="96"/>
    </row>
    <row r="68" spans="2:10" s="5" customFormat="1" ht="15">
      <c r="B68" s="97"/>
      <c r="C68" s="3"/>
      <c r="D68" s="90"/>
      <c r="E68" s="4"/>
      <c r="F68" s="89"/>
      <c r="G68" s="4"/>
      <c r="H68" s="4"/>
      <c r="I68" s="98"/>
      <c r="J68" s="96"/>
    </row>
    <row r="69" spans="2:10" s="5" customFormat="1" ht="20.25">
      <c r="B69" s="100" t="s">
        <v>158</v>
      </c>
      <c r="C69" s="101"/>
      <c r="D69" s="101"/>
      <c r="E69" s="101"/>
      <c r="F69" s="101"/>
      <c r="G69" s="101"/>
      <c r="H69" s="101"/>
      <c r="I69" s="101"/>
      <c r="J69" s="102"/>
    </row>
    <row r="70" spans="2:10" s="5" customFormat="1" ht="30.75">
      <c r="B70" s="68" t="s">
        <v>161</v>
      </c>
      <c r="C70" s="3" t="s">
        <v>162</v>
      </c>
      <c r="D70" s="59">
        <v>8</v>
      </c>
      <c r="E70" s="4"/>
      <c r="F70" s="60"/>
      <c r="G70" s="4"/>
      <c r="H70" s="22"/>
      <c r="I70" s="92" t="s">
        <v>245</v>
      </c>
      <c r="J70" s="69"/>
    </row>
    <row r="71" spans="2:10" s="5" customFormat="1" ht="98.25" customHeight="1">
      <c r="B71" s="68" t="s">
        <v>160</v>
      </c>
      <c r="C71" s="3" t="s">
        <v>159</v>
      </c>
      <c r="D71" s="56">
        <f>((Vout_pcb+0.7)/D64)*D70-0.7</f>
        <v>14.543428571428572</v>
      </c>
      <c r="E71" s="4" t="s">
        <v>2</v>
      </c>
      <c r="F71" s="41" t="str">
        <f>IF(D71&gt;13,"PASS","FAIL")</f>
        <v>PASS</v>
      </c>
      <c r="G71" s="4"/>
      <c r="H71" s="33" t="s">
        <v>217</v>
      </c>
      <c r="I71" s="92" t="s">
        <v>244</v>
      </c>
      <c r="J71" s="69" t="s">
        <v>170</v>
      </c>
    </row>
    <row r="72" spans="2:10" s="5" customFormat="1" ht="46.5" customHeight="1">
      <c r="B72" s="68" t="s">
        <v>165</v>
      </c>
      <c r="C72" s="3"/>
      <c r="D72" s="84">
        <f>((Vout_pcb+0.7)/D64)*D70/(D73+D74)*D74</f>
        <v>1.385766233766234</v>
      </c>
      <c r="E72" s="4" t="s">
        <v>2</v>
      </c>
      <c r="F72" s="41" t="str">
        <f>IF(D72&lt;1.4,"PASS","FAIL")</f>
        <v>PASS</v>
      </c>
      <c r="G72" s="4"/>
      <c r="H72" s="22"/>
      <c r="I72" s="92" t="s">
        <v>246</v>
      </c>
      <c r="J72" s="69" t="s">
        <v>169</v>
      </c>
    </row>
    <row r="73" spans="2:10" s="5" customFormat="1" ht="33" customHeight="1">
      <c r="B73" s="68" t="s">
        <v>164</v>
      </c>
      <c r="C73" s="3" t="s">
        <v>167</v>
      </c>
      <c r="D73" s="59">
        <v>24</v>
      </c>
      <c r="E73" s="4" t="s">
        <v>166</v>
      </c>
      <c r="F73" s="60"/>
      <c r="G73" s="4"/>
      <c r="H73" s="22"/>
      <c r="I73" s="98" t="s">
        <v>227</v>
      </c>
      <c r="J73" s="69"/>
    </row>
    <row r="74" spans="2:10" s="5" customFormat="1" ht="33" customHeight="1">
      <c r="B74" s="68" t="s">
        <v>163</v>
      </c>
      <c r="C74" s="55" t="s">
        <v>168</v>
      </c>
      <c r="D74" s="82">
        <v>2.4</v>
      </c>
      <c r="E74" s="57" t="s">
        <v>166</v>
      </c>
      <c r="F74" s="83"/>
      <c r="G74" s="57"/>
      <c r="H74" s="58" t="s">
        <v>218</v>
      </c>
      <c r="I74" s="98" t="s">
        <v>228</v>
      </c>
      <c r="J74" s="75"/>
    </row>
    <row r="75" spans="2:10" s="5" customFormat="1" ht="13.5" thickBot="1">
      <c r="B75" s="76"/>
      <c r="C75" s="77"/>
      <c r="D75" s="78"/>
      <c r="E75" s="79"/>
      <c r="F75" s="80"/>
      <c r="G75" s="79"/>
      <c r="H75" s="87"/>
      <c r="I75" s="87"/>
      <c r="J75" s="81"/>
    </row>
    <row r="77" spans="5:9" ht="12.75">
      <c r="E77" s="18"/>
      <c r="G77" s="18"/>
      <c r="H77" s="18"/>
      <c r="I77" s="18"/>
    </row>
    <row r="78" spans="2:10" ht="12.75">
      <c r="B78" s="44" t="s">
        <v>91</v>
      </c>
      <c r="C78" s="45" t="s">
        <v>87</v>
      </c>
      <c r="D78" s="46">
        <f>2*Tres/4*0.000001+2*Pxfmr*D66*0.001*(1/Vindc_min+1/Ntr/(Vout_pcb+Vfd))^2</f>
        <v>1.540256505461183E-05</v>
      </c>
      <c r="E78" s="47"/>
      <c r="F78" s="47"/>
      <c r="G78" s="47"/>
      <c r="H78" s="47"/>
      <c r="I78" s="47"/>
      <c r="J78" s="48" t="s">
        <v>95</v>
      </c>
    </row>
    <row r="79" spans="2:10" ht="12.75">
      <c r="B79" s="44" t="s">
        <v>91</v>
      </c>
      <c r="C79" s="45" t="s">
        <v>88</v>
      </c>
      <c r="D79" s="49">
        <f>(Tres*0.000001/4)^2</f>
        <v>6.25E-14</v>
      </c>
      <c r="E79" s="47"/>
      <c r="F79" s="47"/>
      <c r="G79" s="47"/>
      <c r="H79" s="47"/>
      <c r="I79" s="47"/>
      <c r="J79" s="48" t="s">
        <v>95</v>
      </c>
    </row>
    <row r="80" spans="2:10" ht="12.75">
      <c r="B80" s="44" t="s">
        <v>91</v>
      </c>
      <c r="C80" s="45" t="s">
        <v>89</v>
      </c>
      <c r="D80" s="49">
        <f>0.5*(D78+SQRT(D78^2-4*D79))</f>
        <v>1.539850621935147E-05</v>
      </c>
      <c r="E80" s="47"/>
      <c r="F80" s="47"/>
      <c r="G80" s="47"/>
      <c r="H80" s="47"/>
      <c r="I80" s="47"/>
      <c r="J80" s="48" t="s">
        <v>95</v>
      </c>
    </row>
    <row r="81" spans="2:10" ht="12.75">
      <c r="B81" s="44"/>
      <c r="C81" s="45"/>
      <c r="D81" s="49"/>
      <c r="E81" s="47"/>
      <c r="F81" s="47"/>
      <c r="G81" s="47"/>
      <c r="H81" s="47"/>
      <c r="I81" s="47"/>
      <c r="J81" s="48"/>
    </row>
    <row r="82" spans="2:10" ht="12.75">
      <c r="B82" s="44" t="s">
        <v>91</v>
      </c>
      <c r="C82" s="45" t="s">
        <v>87</v>
      </c>
      <c r="D82" s="46">
        <f>2*Tres/4*0.000001+2*Pxfmr*D66*0.001*(1/Vindc_hi+1/Ntr/(Vout_pcb+Vfd))^2</f>
        <v>9.267080974040037E-06</v>
      </c>
      <c r="E82" s="47"/>
      <c r="F82" s="47"/>
      <c r="G82" s="47"/>
      <c r="H82" s="47"/>
      <c r="I82" s="47"/>
      <c r="J82" s="48" t="s">
        <v>94</v>
      </c>
    </row>
    <row r="83" spans="2:10" ht="12.75">
      <c r="B83" s="44" t="s">
        <v>91</v>
      </c>
      <c r="C83" s="45" t="s">
        <v>88</v>
      </c>
      <c r="D83" s="49">
        <f>(Tres*0.000001/4)^2</f>
        <v>6.25E-14</v>
      </c>
      <c r="E83" s="47"/>
      <c r="F83" s="47"/>
      <c r="G83" s="47"/>
      <c r="H83" s="47"/>
      <c r="I83" s="47"/>
      <c r="J83" s="48" t="s">
        <v>94</v>
      </c>
    </row>
    <row r="84" spans="2:10" ht="12.75">
      <c r="B84" s="44" t="s">
        <v>91</v>
      </c>
      <c r="C84" s="45" t="s">
        <v>89</v>
      </c>
      <c r="D84" s="49">
        <f>0.5*(D82+SQRT(D82^2-4*D83))</f>
        <v>9.260331755799464E-06</v>
      </c>
      <c r="E84" s="47"/>
      <c r="F84" s="47"/>
      <c r="G84" s="47"/>
      <c r="H84" s="47"/>
      <c r="I84" s="47"/>
      <c r="J84" s="48" t="s">
        <v>94</v>
      </c>
    </row>
  </sheetData>
  <sheetProtection/>
  <mergeCells count="9">
    <mergeCell ref="B69:J69"/>
    <mergeCell ref="B18:J18"/>
    <mergeCell ref="B60:J60"/>
    <mergeCell ref="B29:J29"/>
    <mergeCell ref="B2:J2"/>
    <mergeCell ref="B8:J8"/>
    <mergeCell ref="B14:J14"/>
    <mergeCell ref="B3:J3"/>
    <mergeCell ref="B25:J2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lipingshao</dc:creator>
  <cp:keywords/>
  <dc:description/>
  <cp:lastModifiedBy>lipingshao</cp:lastModifiedBy>
  <dcterms:created xsi:type="dcterms:W3CDTF">1996-10-14T23:33:28Z</dcterms:created>
  <dcterms:modified xsi:type="dcterms:W3CDTF">2011-07-26T11:05:48Z</dcterms:modified>
  <cp:category/>
  <cp:version/>
  <cp:contentType/>
  <cp:contentStatus/>
</cp:coreProperties>
</file>