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2" authorId="0">
      <text>
        <r>
          <rPr>
            <b/>
            <sz val="9"/>
            <rFont val="宋体"/>
            <family val="0"/>
          </rPr>
          <t>注:这个值理论至少要大于1，实际设计中建议最少大于2。</t>
        </r>
        <r>
          <rPr>
            <sz val="9"/>
            <rFont val="宋体"/>
            <family val="0"/>
          </rPr>
          <t xml:space="preserve">
</t>
        </r>
      </text>
    </comment>
    <comment ref="J17" authorId="0">
      <text>
        <r>
          <rPr>
            <b/>
            <sz val="9"/>
            <rFont val="宋体"/>
            <family val="0"/>
          </rPr>
          <t>注:此值建议为10%～20%，选值过小，则输入电容很大。选值过大，则输入电容电压纹波很大。</t>
        </r>
        <r>
          <rPr>
            <sz val="9"/>
            <rFont val="宋体"/>
            <family val="0"/>
          </rPr>
          <t xml:space="preserve">
</t>
        </r>
      </text>
    </comment>
    <comment ref="J71" authorId="0">
      <text>
        <r>
          <rPr>
            <b/>
            <sz val="9"/>
            <rFont val="宋体"/>
            <family val="0"/>
          </rPr>
          <t>注:建议取0.2到0.3之间。过高有饱和的危险。低于0.2则过于浪费。小功率可以取高一点，大功率的应取低一点。</t>
        </r>
        <r>
          <rPr>
            <sz val="9"/>
            <rFont val="宋体"/>
            <family val="0"/>
          </rPr>
          <t xml:space="preserve">
</t>
        </r>
      </text>
    </comment>
    <comment ref="J72" authorId="0">
      <text>
        <r>
          <rPr>
            <b/>
            <sz val="9"/>
            <rFont val="宋体"/>
            <family val="0"/>
          </rPr>
          <t>注:一般设定在500A/平方厘米。低于这个值，可以降低铜损，但线圈体积增加。高于这个值则铜损增加，不过线圈体积会小一点。</t>
        </r>
        <r>
          <rPr>
            <sz val="9"/>
            <rFont val="宋体"/>
            <family val="0"/>
          </rPr>
          <t xml:space="preserve">
</t>
        </r>
      </text>
    </comment>
    <comment ref="J73" authorId="0">
      <text>
        <r>
          <rPr>
            <b/>
            <sz val="9"/>
            <rFont val="宋体"/>
            <family val="0"/>
          </rPr>
          <t>注:占空系数就是线圈能够占满窗口的比例。一般在0.2～0.4。和磁芯的形状有很大关系。另外，使用三重绝缘线也有利于增加占空比例。但不建议超过0.4，因为这里的占空系数只是初级的。还需要留空间给次级。</t>
        </r>
        <r>
          <rPr>
            <sz val="9"/>
            <rFont val="宋体"/>
            <family val="0"/>
          </rPr>
          <t xml:space="preserve">
</t>
        </r>
      </text>
    </comment>
    <comment ref="J87" authorId="0">
      <text>
        <r>
          <rPr>
            <b/>
            <sz val="9"/>
            <rFont val="宋体"/>
            <family val="0"/>
          </rPr>
          <t>注:肖特基管建议填0.7，快恢复管建议填1.0</t>
        </r>
        <r>
          <rPr>
            <sz val="9"/>
            <rFont val="宋体"/>
            <family val="0"/>
          </rPr>
          <t xml:space="preserve">
</t>
        </r>
      </text>
    </comment>
    <comment ref="J89" authorId="0">
      <text>
        <r>
          <rPr>
            <b/>
            <sz val="9"/>
            <rFont val="宋体"/>
            <family val="0"/>
          </rPr>
          <t>注:此处填入初级匝数，可以在上面计算的基础上微调，以使下面的计算结果尽量为整数。
如果输入的DCM的Np值，那么计算的结果适用于DCM工作的模式。如果输入的是CCM的Np值，那么计算结果适用于CCM工作的模式。
多绕组输出，匝数不肯能刚好满足每一路输出都是整数。只好尽量满足大多数的要求，或者满足要求比较严格的那路了。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严格说来，这里作了微调，也会影响前面的很多参数，比如最大工作占空比，反射电压、箝位电压等等参数，但由于是微调，我们就不迭代回去返算了。</t>
        </r>
      </text>
    </comment>
    <comment ref="C103" authorId="0">
      <text>
        <r>
          <rPr>
            <b/>
            <sz val="9"/>
            <rFont val="宋体"/>
            <family val="0"/>
          </rPr>
          <t>注:三角波也可以看做是梯形波的一种，只不过是从0开始上升的梯形波。</t>
        </r>
        <r>
          <rPr>
            <sz val="9"/>
            <rFont val="宋体"/>
            <family val="0"/>
          </rPr>
          <t xml:space="preserve">
</t>
        </r>
      </text>
    </comment>
    <comment ref="J139" authorId="0">
      <text>
        <r>
          <rPr>
            <b/>
            <sz val="9"/>
            <rFont val="宋体"/>
            <family val="0"/>
          </rPr>
          <t>注:漏感一般为初级电感量的3%以下。所以我们这里假设一个数字为3.75uH。实际设计过程中，以实测为准。</t>
        </r>
        <r>
          <rPr>
            <sz val="9"/>
            <rFont val="宋体"/>
            <family val="0"/>
          </rPr>
          <t xml:space="preserve">
</t>
        </r>
      </text>
    </comment>
    <comment ref="J141" authorId="0">
      <text>
        <r>
          <rPr>
            <b/>
            <sz val="9"/>
            <rFont val="宋体"/>
            <family val="0"/>
          </rPr>
          <t>注:通常选择为5%～10%。也就是说填入 5或者10。</t>
        </r>
        <r>
          <rPr>
            <sz val="9"/>
            <rFont val="宋体"/>
            <family val="0"/>
          </rPr>
          <t xml:space="preserve">
</t>
        </r>
      </text>
    </comment>
    <comment ref="J25" authorId="0">
      <text>
        <r>
          <rPr>
            <b/>
            <sz val="9"/>
            <rFont val="宋体"/>
            <family val="0"/>
          </rPr>
          <t>注:此值理论上必须大于1。</t>
        </r>
        <r>
          <rPr>
            <sz val="9"/>
            <rFont val="宋体"/>
            <family val="0"/>
          </rPr>
          <t xml:space="preserve">
</t>
        </r>
      </text>
    </comment>
    <comment ref="J131" authorId="0">
      <text>
        <r>
          <rPr>
            <b/>
            <sz val="9"/>
            <rFont val="宋体"/>
            <family val="0"/>
          </rPr>
          <t>注:见论坛帖子的说明。一般来说105度的电容工作在85度的时候，系数可以选1.7，或以厂商的参数为准。</t>
        </r>
        <r>
          <rPr>
            <sz val="9"/>
            <rFont val="宋体"/>
            <family val="0"/>
          </rPr>
          <t xml:space="preserve">
</t>
        </r>
      </text>
    </comment>
    <comment ref="J132" authorId="0">
      <text>
        <r>
          <rPr>
            <b/>
            <sz val="9"/>
            <rFont val="宋体"/>
            <family val="0"/>
          </rPr>
          <t>注:详情见论坛说明，或以厂商数据为准。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<sst xmlns="http://schemas.openxmlformats.org/spreadsheetml/2006/main" count="259" uniqueCount="155">
  <si>
    <t>设计要求</t>
  </si>
  <si>
    <t>VAC</t>
  </si>
  <si>
    <t>VAC</t>
  </si>
  <si>
    <t>W</t>
  </si>
  <si>
    <t>KHz</t>
  </si>
  <si>
    <t>%</t>
  </si>
  <si>
    <t>计算过程</t>
  </si>
  <si>
    <t>Hz</t>
  </si>
  <si>
    <t>V</t>
  </si>
  <si>
    <t>W</t>
  </si>
  <si>
    <t>最低电压直流平均电流</t>
  </si>
  <si>
    <t>A</t>
  </si>
  <si>
    <t>输入端电解电容容量</t>
  </si>
  <si>
    <t>uF</t>
  </si>
  <si>
    <t>实际选择电解电容容量为：</t>
  </si>
  <si>
    <t>选择最大工作占空比</t>
  </si>
  <si>
    <t>RCD吸收电压与反射电压比例</t>
  </si>
  <si>
    <t>指定MOS耐压</t>
  </si>
  <si>
    <t>稳态时MOS电压应力比例</t>
  </si>
  <si>
    <t>%</t>
  </si>
  <si>
    <t>最大工作占空比</t>
  </si>
  <si>
    <t>RCD耗散能量是漏感能量的倍数</t>
  </si>
  <si>
    <t>倍</t>
  </si>
  <si>
    <t>MOS工作电压应力</t>
  </si>
  <si>
    <t>MOS耐压要求</t>
  </si>
  <si>
    <t>V</t>
  </si>
  <si>
    <t>下面有三种计算方法供我们比较参考，不同的设计方法，考虑的出发点是不同的。</t>
  </si>
  <si>
    <t>本文中的设计，都是按照在最低输入电压、最大输出电流时，变换器工作在CCM模式或CRM模式来考虑的。</t>
  </si>
  <si>
    <t>RCD箝位电压与反射电压比例</t>
  </si>
  <si>
    <t>设定RCD箝位电压比反射电压高</t>
  </si>
  <si>
    <r>
      <t>输入功率P</t>
    </r>
    <r>
      <rPr>
        <sz val="10"/>
        <rFont val="宋体"/>
        <family val="0"/>
      </rPr>
      <t>in</t>
    </r>
  </si>
  <si>
    <t>效率η</t>
  </si>
  <si>
    <r>
      <t>最低交流电源电压V</t>
    </r>
    <r>
      <rPr>
        <sz val="10"/>
        <rFont val="宋体"/>
        <family val="0"/>
      </rPr>
      <t>acmin</t>
    </r>
  </si>
  <si>
    <r>
      <t>最高交流电源电压V</t>
    </r>
    <r>
      <rPr>
        <sz val="10"/>
        <rFont val="宋体"/>
        <family val="0"/>
      </rPr>
      <t>acmax</t>
    </r>
  </si>
  <si>
    <r>
      <t>交流电源频率f</t>
    </r>
    <r>
      <rPr>
        <sz val="10"/>
        <rFont val="宋体"/>
        <family val="0"/>
      </rPr>
      <t>ac</t>
    </r>
  </si>
  <si>
    <r>
      <t>输出功率P</t>
    </r>
    <r>
      <rPr>
        <sz val="10"/>
        <rFont val="宋体"/>
        <family val="0"/>
      </rPr>
      <t>out</t>
    </r>
  </si>
  <si>
    <r>
      <t>开关频率f</t>
    </r>
    <r>
      <rPr>
        <sz val="10"/>
        <rFont val="宋体"/>
        <family val="0"/>
      </rPr>
      <t>s</t>
    </r>
  </si>
  <si>
    <r>
      <t>最大工作占空比D</t>
    </r>
    <r>
      <rPr>
        <sz val="10"/>
        <rFont val="宋体"/>
        <family val="0"/>
      </rPr>
      <t>max</t>
    </r>
  </si>
  <si>
    <r>
      <t>反射电压V</t>
    </r>
    <r>
      <rPr>
        <sz val="10"/>
        <rFont val="宋体"/>
        <family val="0"/>
      </rPr>
      <t>f</t>
    </r>
  </si>
  <si>
    <r>
      <t>RCD箝位电压V</t>
    </r>
    <r>
      <rPr>
        <sz val="10"/>
        <rFont val="宋体"/>
        <family val="0"/>
      </rPr>
      <t>c</t>
    </r>
  </si>
  <si>
    <t>下面，我们在设计中面临着另一个分水岭，是选择CCM，还是选择DCM</t>
  </si>
  <si>
    <r>
      <t>I</t>
    </r>
    <r>
      <rPr>
        <sz val="10"/>
        <rFont val="宋体"/>
        <family val="0"/>
      </rPr>
      <t>p1</t>
    </r>
    <r>
      <rPr>
        <sz val="12"/>
        <rFont val="宋体"/>
        <family val="0"/>
      </rPr>
      <t>+I</t>
    </r>
    <r>
      <rPr>
        <sz val="10"/>
        <rFont val="宋体"/>
        <family val="0"/>
      </rPr>
      <t>p2</t>
    </r>
    <r>
      <rPr>
        <sz val="12"/>
        <rFont val="宋体"/>
        <family val="0"/>
      </rPr>
      <t>=</t>
    </r>
  </si>
  <si>
    <r>
      <t>不管是DCM还是CCM方式，都有这么一个公式成立：P</t>
    </r>
    <r>
      <rPr>
        <sz val="10"/>
        <rFont val="宋体"/>
        <family val="0"/>
      </rPr>
      <t>in</t>
    </r>
    <r>
      <rPr>
        <sz val="12"/>
        <rFont val="宋体"/>
        <family val="0"/>
      </rPr>
      <t>=(1/2)×V</t>
    </r>
    <r>
      <rPr>
        <sz val="10"/>
        <rFont val="宋体"/>
        <family val="0"/>
      </rPr>
      <t>inmin</t>
    </r>
    <r>
      <rPr>
        <sz val="12"/>
        <rFont val="宋体"/>
        <family val="0"/>
      </rPr>
      <t>×(I</t>
    </r>
    <r>
      <rPr>
        <sz val="10"/>
        <rFont val="宋体"/>
        <family val="0"/>
      </rPr>
      <t>p1</t>
    </r>
    <r>
      <rPr>
        <sz val="12"/>
        <rFont val="宋体"/>
        <family val="0"/>
      </rPr>
      <t>+I</t>
    </r>
    <r>
      <rPr>
        <sz val="10"/>
        <rFont val="宋体"/>
        <family val="0"/>
      </rPr>
      <t>p2</t>
    </r>
    <r>
      <rPr>
        <sz val="12"/>
        <rFont val="宋体"/>
        <family val="0"/>
      </rPr>
      <t>)×D</t>
    </r>
    <r>
      <rPr>
        <sz val="10"/>
        <rFont val="宋体"/>
        <family val="0"/>
      </rPr>
      <t>max</t>
    </r>
    <r>
      <rPr>
        <sz val="12"/>
        <rFont val="宋体"/>
        <family val="0"/>
      </rPr>
      <t>，所以：</t>
    </r>
  </si>
  <si>
    <r>
      <t>I</t>
    </r>
    <r>
      <rPr>
        <sz val="10"/>
        <rFont val="宋体"/>
        <family val="0"/>
      </rPr>
      <t>p2</t>
    </r>
    <r>
      <rPr>
        <sz val="12"/>
        <rFont val="宋体"/>
        <family val="0"/>
      </rPr>
      <t>=</t>
    </r>
  </si>
  <si>
    <t>如果选择CCM，并定义</t>
  </si>
  <si>
    <r>
      <t>I</t>
    </r>
    <r>
      <rPr>
        <sz val="10"/>
        <rFont val="宋体"/>
        <family val="0"/>
      </rPr>
      <t>p1</t>
    </r>
  </si>
  <si>
    <t>则</t>
  </si>
  <si>
    <t>则,</t>
  </si>
  <si>
    <r>
      <t>I</t>
    </r>
    <r>
      <rPr>
        <sz val="10"/>
        <rFont val="宋体"/>
        <family val="0"/>
      </rPr>
      <t>p1</t>
    </r>
    <r>
      <rPr>
        <sz val="12"/>
        <rFont val="宋体"/>
        <family val="0"/>
      </rPr>
      <t>=</t>
    </r>
  </si>
  <si>
    <t>如果选择DCM，那么</t>
  </si>
  <si>
    <r>
      <t>I</t>
    </r>
    <r>
      <rPr>
        <sz val="10"/>
        <rFont val="宋体"/>
        <family val="0"/>
      </rPr>
      <t>p2</t>
    </r>
    <r>
      <rPr>
        <sz val="12"/>
        <rFont val="宋体"/>
        <family val="0"/>
      </rPr>
      <t>-I</t>
    </r>
    <r>
      <rPr>
        <sz val="10"/>
        <rFont val="宋体"/>
        <family val="0"/>
      </rPr>
      <t>p1</t>
    </r>
    <r>
      <rPr>
        <sz val="12"/>
        <rFont val="宋体"/>
        <family val="0"/>
      </rPr>
      <t>=</t>
    </r>
  </si>
  <si>
    <r>
      <t>根据公式，L</t>
    </r>
    <r>
      <rPr>
        <sz val="10"/>
        <rFont val="宋体"/>
        <family val="0"/>
      </rPr>
      <t>p</t>
    </r>
    <r>
      <rPr>
        <sz val="12"/>
        <rFont val="宋体"/>
        <family val="0"/>
      </rPr>
      <t>=V</t>
    </r>
    <r>
      <rPr>
        <sz val="10"/>
        <rFont val="宋体"/>
        <family val="0"/>
      </rPr>
      <t>inmin</t>
    </r>
    <r>
      <rPr>
        <sz val="12"/>
        <rFont val="宋体"/>
        <family val="0"/>
      </rPr>
      <t>×D</t>
    </r>
    <r>
      <rPr>
        <sz val="10"/>
        <rFont val="宋体"/>
        <family val="0"/>
      </rPr>
      <t>max</t>
    </r>
    <r>
      <rPr>
        <sz val="12"/>
        <rFont val="宋体"/>
        <family val="0"/>
      </rPr>
      <t>/(f</t>
    </r>
    <r>
      <rPr>
        <sz val="10"/>
        <rFont val="宋体"/>
        <family val="0"/>
      </rPr>
      <t>s</t>
    </r>
    <r>
      <rPr>
        <sz val="12"/>
        <rFont val="宋体"/>
        <family val="0"/>
      </rPr>
      <t>×(I</t>
    </r>
    <r>
      <rPr>
        <sz val="10"/>
        <rFont val="宋体"/>
        <family val="0"/>
      </rPr>
      <t>p2</t>
    </r>
    <r>
      <rPr>
        <sz val="12"/>
        <rFont val="宋体"/>
        <family val="0"/>
      </rPr>
      <t>-I</t>
    </r>
    <r>
      <rPr>
        <sz val="10"/>
        <rFont val="宋体"/>
        <family val="0"/>
      </rPr>
      <t>p1</t>
    </r>
    <r>
      <rPr>
        <sz val="12"/>
        <rFont val="宋体"/>
        <family val="0"/>
      </rPr>
      <t>))，可以求出两种模式下的初级电感量：</t>
    </r>
  </si>
  <si>
    <r>
      <t>L</t>
    </r>
    <r>
      <rPr>
        <sz val="10"/>
        <rFont val="宋体"/>
        <family val="0"/>
      </rPr>
      <t>p</t>
    </r>
    <r>
      <rPr>
        <sz val="12"/>
        <rFont val="宋体"/>
        <family val="0"/>
      </rPr>
      <t>=</t>
    </r>
  </si>
  <si>
    <t>uH</t>
  </si>
  <si>
    <t>选择CCM，则</t>
  </si>
  <si>
    <t>选择DCM，则</t>
  </si>
  <si>
    <t>下面根据AP法，选择磁芯规格。先计算所需要AP值：</t>
  </si>
  <si>
    <t>AP=</t>
  </si>
  <si>
    <t>Bmax=</t>
  </si>
  <si>
    <t>设定电流密度为</t>
  </si>
  <si>
    <t>设定占空系数为</t>
  </si>
  <si>
    <t>设定最大工作磁感应强度为</t>
  </si>
  <si>
    <t>Kj=</t>
  </si>
  <si>
    <t>K0=</t>
  </si>
  <si>
    <t>T</t>
  </si>
  <si>
    <t>A/cm</t>
  </si>
  <si>
    <t>uF</t>
  </si>
  <si>
    <t>cm</t>
  </si>
  <si>
    <t>Ae=</t>
  </si>
  <si>
    <t>Aw=</t>
  </si>
  <si>
    <r>
      <t>下面，根据L</t>
    </r>
    <r>
      <rPr>
        <sz val="10"/>
        <rFont val="宋体"/>
        <family val="0"/>
      </rPr>
      <t>p</t>
    </r>
    <r>
      <rPr>
        <sz val="12"/>
        <rFont val="宋体"/>
        <family val="0"/>
      </rPr>
      <t>I</t>
    </r>
    <r>
      <rPr>
        <sz val="10"/>
        <rFont val="宋体"/>
        <family val="0"/>
      </rPr>
      <t>p2</t>
    </r>
    <r>
      <rPr>
        <sz val="12"/>
        <rFont val="宋体"/>
        <family val="0"/>
      </rPr>
      <t>=N</t>
    </r>
    <r>
      <rPr>
        <sz val="10"/>
        <rFont val="宋体"/>
        <family val="0"/>
      </rPr>
      <t>p</t>
    </r>
    <r>
      <rPr>
        <sz val="12"/>
        <rFont val="宋体"/>
        <family val="0"/>
      </rPr>
      <t>B</t>
    </r>
    <r>
      <rPr>
        <sz val="10"/>
        <rFont val="宋体"/>
        <family val="0"/>
      </rPr>
      <t>max</t>
    </r>
    <r>
      <rPr>
        <sz val="12"/>
        <rFont val="宋体"/>
        <family val="0"/>
      </rPr>
      <t>A</t>
    </r>
    <r>
      <rPr>
        <sz val="10"/>
        <rFont val="宋体"/>
        <family val="0"/>
      </rPr>
      <t>e</t>
    </r>
    <r>
      <rPr>
        <sz val="12"/>
        <rFont val="宋体"/>
        <family val="0"/>
      </rPr>
      <t>来计算初级侧的匝数：</t>
    </r>
  </si>
  <si>
    <t>Np=</t>
  </si>
  <si>
    <t>匝</t>
  </si>
  <si>
    <t>接着，我们来计算次级绕组的匝数：</t>
  </si>
  <si>
    <t>我们先设定次级整流二极管的压降：</t>
  </si>
  <si>
    <t>那么</t>
  </si>
  <si>
    <t>V绕组匝数为：</t>
  </si>
  <si>
    <t>按照上面计算，填入初级匝数</t>
  </si>
  <si>
    <r>
      <t>N</t>
    </r>
    <r>
      <rPr>
        <sz val="10"/>
        <rFont val="宋体"/>
        <family val="0"/>
      </rPr>
      <t>p</t>
    </r>
    <r>
      <rPr>
        <sz val="12"/>
        <rFont val="宋体"/>
        <family val="0"/>
      </rPr>
      <t>=</t>
    </r>
  </si>
  <si>
    <t>匝</t>
  </si>
  <si>
    <t>按照梯形波的RMS值计算公式计算初、次级绕组电流RMS值：</t>
  </si>
  <si>
    <r>
      <t>I</t>
    </r>
    <r>
      <rPr>
        <sz val="10"/>
        <rFont val="宋体"/>
        <family val="0"/>
      </rPr>
      <t>prms</t>
    </r>
    <r>
      <rPr>
        <sz val="12"/>
        <rFont val="宋体"/>
        <family val="0"/>
      </rPr>
      <t>=</t>
    </r>
  </si>
  <si>
    <t>先看初级的：</t>
  </si>
  <si>
    <t>DCM时</t>
  </si>
  <si>
    <t>CCM时</t>
  </si>
  <si>
    <t>要计算次级电流的RMS值，首先要知道次级输出电流值。</t>
  </si>
  <si>
    <t>Iout=</t>
  </si>
  <si>
    <t>A</t>
  </si>
  <si>
    <t>DCM时，次级峰值电流：</t>
  </si>
  <si>
    <r>
      <t>I</t>
    </r>
    <r>
      <rPr>
        <sz val="10"/>
        <rFont val="宋体"/>
        <family val="0"/>
      </rPr>
      <t>sp</t>
    </r>
    <r>
      <rPr>
        <sz val="12"/>
        <rFont val="宋体"/>
        <family val="0"/>
      </rPr>
      <t>=</t>
    </r>
  </si>
  <si>
    <r>
      <t>I</t>
    </r>
    <r>
      <rPr>
        <sz val="10"/>
        <rFont val="宋体"/>
        <family val="0"/>
      </rPr>
      <t>srms</t>
    </r>
    <r>
      <rPr>
        <sz val="12"/>
        <rFont val="宋体"/>
        <family val="0"/>
      </rPr>
      <t>=</t>
    </r>
  </si>
  <si>
    <r>
      <t>CCM时，首先要计算次级梯形波电流值，定义梯形短边为I</t>
    </r>
    <r>
      <rPr>
        <sz val="10"/>
        <rFont val="宋体"/>
        <family val="0"/>
      </rPr>
      <t>sp1</t>
    </r>
    <r>
      <rPr>
        <sz val="12"/>
        <rFont val="宋体"/>
        <family val="0"/>
      </rPr>
      <t>,长边为I</t>
    </r>
    <r>
      <rPr>
        <sz val="10"/>
        <rFont val="宋体"/>
        <family val="0"/>
      </rPr>
      <t>sp2</t>
    </r>
  </si>
  <si>
    <r>
      <t>那么I</t>
    </r>
    <r>
      <rPr>
        <sz val="10"/>
        <rFont val="宋体"/>
        <family val="0"/>
      </rPr>
      <t>sp1</t>
    </r>
    <r>
      <rPr>
        <sz val="12"/>
        <rFont val="宋体"/>
        <family val="0"/>
      </rPr>
      <t>和I</t>
    </r>
    <r>
      <rPr>
        <sz val="10"/>
        <rFont val="宋体"/>
        <family val="0"/>
      </rPr>
      <t>sp2</t>
    </r>
    <r>
      <rPr>
        <sz val="12"/>
        <rFont val="宋体"/>
        <family val="0"/>
      </rPr>
      <t>的比例关系与初级侧相同。</t>
    </r>
  </si>
  <si>
    <t>可以求出：</t>
  </si>
  <si>
    <t>Isp1=</t>
  </si>
  <si>
    <t>Isp2=</t>
  </si>
  <si>
    <t>Isrms=</t>
  </si>
  <si>
    <t>假设某次级的输出电流为</t>
  </si>
  <si>
    <t>知道了次级绕组的有效值电流，就可以选择合适的线径了。注意单根线径不要超过2倍趋肤深度。</t>
  </si>
  <si>
    <t>Δ=</t>
  </si>
  <si>
    <t>趋肤深度简单计算为</t>
  </si>
  <si>
    <t>mm</t>
  </si>
  <si>
    <t>需要导线的铜截面积为：</t>
  </si>
  <si>
    <r>
      <t>Sp</t>
    </r>
    <r>
      <rPr>
        <sz val="12"/>
        <rFont val="宋体"/>
        <family val="0"/>
      </rPr>
      <t>=</t>
    </r>
  </si>
  <si>
    <r>
      <t>S</t>
    </r>
    <r>
      <rPr>
        <sz val="10"/>
        <rFont val="宋体"/>
        <family val="0"/>
      </rPr>
      <t>s</t>
    </r>
    <r>
      <rPr>
        <sz val="12"/>
        <rFont val="宋体"/>
        <family val="0"/>
      </rPr>
      <t>=</t>
    </r>
  </si>
  <si>
    <t>下面来选择合适的次级滤波电解电容</t>
  </si>
  <si>
    <t>A</t>
  </si>
  <si>
    <t>那么，</t>
  </si>
  <si>
    <t>说明我们可以用两只这样的电容并联使用就可以满足要求了。</t>
  </si>
  <si>
    <t>但实际使用时，必须检测电容的温度和自温升。对电容的使用是否合理重新评估。</t>
  </si>
  <si>
    <t>1.36×1.7×2×1=4.624&gt;</t>
  </si>
  <si>
    <t>上式中，1.7是温度系数，2是两只并联，1是频率系数。</t>
  </si>
  <si>
    <t>现在来计算RCD吸收电路的参数:</t>
  </si>
  <si>
    <t>Lplk=</t>
  </si>
  <si>
    <t>uH</t>
  </si>
  <si>
    <t>变压器实测初级漏感约为：</t>
  </si>
  <si>
    <t>我们已经设计了箝位电压</t>
  </si>
  <si>
    <r>
      <t>V</t>
    </r>
    <r>
      <rPr>
        <sz val="10"/>
        <rFont val="宋体"/>
        <family val="0"/>
      </rPr>
      <t>c</t>
    </r>
    <r>
      <rPr>
        <sz val="12"/>
        <rFont val="宋体"/>
        <family val="0"/>
      </rPr>
      <t>=</t>
    </r>
  </si>
  <si>
    <t>V</t>
  </si>
  <si>
    <t>那么对于DCM模式时，损耗功率：</t>
  </si>
  <si>
    <t>P=</t>
  </si>
  <si>
    <t>W</t>
  </si>
  <si>
    <t>电阻取值：</t>
  </si>
  <si>
    <t>R=</t>
  </si>
  <si>
    <t>K</t>
  </si>
  <si>
    <t>吸收电容容量为：</t>
  </si>
  <si>
    <t>C=</t>
  </si>
  <si>
    <t>nF</t>
  </si>
  <si>
    <t>假如我们设定吸收电容电压波动为：</t>
  </si>
  <si>
    <t>%</t>
  </si>
  <si>
    <t>那么对于CCM模式时，损耗功率：</t>
  </si>
  <si>
    <t>K</t>
  </si>
  <si>
    <t>注意：</t>
  </si>
  <si>
    <t>是需要用户手动输入的。</t>
  </si>
  <si>
    <t>是计算出来的结果。</t>
  </si>
  <si>
    <t>是禁止修改的。</t>
  </si>
  <si>
    <t>输入端整流后电解电容电压纹波</t>
  </si>
  <si>
    <r>
      <t>输入端最低直流电压V</t>
    </r>
    <r>
      <rPr>
        <sz val="10"/>
        <rFont val="宋体"/>
        <family val="0"/>
      </rPr>
      <t>inmin</t>
    </r>
  </si>
  <si>
    <r>
      <t>输入端最高直流电压V</t>
    </r>
    <r>
      <rPr>
        <sz val="10"/>
        <rFont val="宋体"/>
        <family val="0"/>
      </rPr>
      <t>inmax</t>
    </r>
  </si>
  <si>
    <t>Vc、Vf、Dmax计算方法一</t>
  </si>
  <si>
    <t>Vc、Vf、Dmax计算方法二</t>
  </si>
  <si>
    <t>Vc、Vf、Dmax计算方法三</t>
  </si>
  <si>
    <t>实际二极管的耐压选择，最好用示波器看看最大反向电压的数值，再留出20%的裕量。</t>
  </si>
  <si>
    <r>
      <t>反激式开关电源参数设计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>v0.9</t>
    </r>
    <r>
      <rPr>
        <sz val="8"/>
        <rFont val="宋体"/>
        <family val="0"/>
      </rPr>
      <t xml:space="preserve">                              </t>
    </r>
    <r>
      <rPr>
        <sz val="10"/>
        <rFont val="宋体"/>
        <family val="0"/>
      </rPr>
      <t>作者：让你记得我的好</t>
    </r>
  </si>
  <si>
    <t>综合以上计算结果，对比后，我们选择其中一种方法的结果来作为后继计算的起点。把结果填入下面表格:</t>
  </si>
  <si>
    <t>假设我们的输出是DCM模式，按照上面的计算知道</t>
  </si>
  <si>
    <t>V绕组二极管耐压为：</t>
  </si>
  <si>
    <t>E25/13/7</t>
  </si>
  <si>
    <t>经查询磁芯参数，选择一款的磁芯：</t>
  </si>
  <si>
    <t>通过查资料知道某款电容，规格为：</t>
  </si>
  <si>
    <t>560uF/35V(江海，CD287)</t>
  </si>
  <si>
    <t>105度时耐100KHz电流纹波电流能力为</t>
  </si>
  <si>
    <t>设定频率系数为：</t>
  </si>
  <si>
    <t>设定温度系数为：</t>
  </si>
  <si>
    <t>Ferroxcube公司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</si>
</sst>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䰀"/>
    <numFmt numFmtId="177" formatCode="0;_砀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.0000000_ "/>
    <numFmt numFmtId="184" formatCode="0.000000_ "/>
    <numFmt numFmtId="185" formatCode="0.00000000_ "/>
    <numFmt numFmtId="186" formatCode="0_ "/>
    <numFmt numFmtId="187" formatCode="0.0;_砀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justify"/>
    </xf>
    <xf numFmtId="0" fontId="0" fillId="3" borderId="1" xfId="0" applyFill="1" applyBorder="1" applyAlignment="1">
      <alignment/>
    </xf>
    <xf numFmtId="177" fontId="0" fillId="3" borderId="1" xfId="0" applyNumberFormat="1" applyFill="1" applyBorder="1" applyAlignment="1">
      <alignment/>
    </xf>
    <xf numFmtId="181" fontId="0" fillId="3" borderId="1" xfId="0" applyNumberFormat="1" applyFill="1" applyBorder="1" applyAlignment="1">
      <alignment/>
    </xf>
    <xf numFmtId="182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3" borderId="1" xfId="0" applyNumberFormat="1" applyFill="1" applyBorder="1" applyAlignment="1">
      <alignment/>
    </xf>
    <xf numFmtId="0" fontId="0" fillId="0" borderId="0" xfId="0" applyBorder="1" applyAlignment="1">
      <alignment horizontal="justify"/>
    </xf>
    <xf numFmtId="182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1" fontId="0" fillId="0" borderId="1" xfId="0" applyNumberFormat="1" applyFill="1" applyBorder="1" applyAlignment="1">
      <alignment/>
    </xf>
    <xf numFmtId="181" fontId="0" fillId="4" borderId="1" xfId="0" applyNumberFormat="1" applyFill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justify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2" fontId="0" fillId="3" borderId="3" xfId="0" applyNumberFormat="1" applyFill="1" applyBorder="1" applyAlignment="1">
      <alignment/>
    </xf>
    <xf numFmtId="182" fontId="0" fillId="0" borderId="4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181" fontId="0" fillId="2" borderId="1" xfId="0" applyNumberFormat="1" applyFill="1" applyBorder="1" applyAlignment="1" applyProtection="1">
      <alignment/>
      <protection locked="0"/>
    </xf>
    <xf numFmtId="182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right"/>
      <protection locked="0"/>
    </xf>
    <xf numFmtId="182" fontId="0" fillId="2" borderId="5" xfId="0" applyNumberFormat="1" applyFill="1" applyBorder="1" applyAlignment="1" applyProtection="1">
      <alignment/>
      <protection locked="0"/>
    </xf>
    <xf numFmtId="180" fontId="0" fillId="2" borderId="1" xfId="0" applyNumberFormat="1" applyFill="1" applyBorder="1" applyAlignment="1" applyProtection="1">
      <alignment/>
      <protection locked="0"/>
    </xf>
    <xf numFmtId="180" fontId="0" fillId="3" borderId="1" xfId="0" applyNumberFormat="1" applyFill="1" applyBorder="1" applyAlignment="1">
      <alignment/>
    </xf>
    <xf numFmtId="181" fontId="0" fillId="3" borderId="3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2" borderId="1" xfId="0" applyFill="1" applyBorder="1" applyAlignment="1" applyProtection="1">
      <alignment horizontal="justify"/>
      <protection locked="0"/>
    </xf>
    <xf numFmtId="0" fontId="0" fillId="2" borderId="3" xfId="0" applyFill="1" applyBorder="1" applyAlignment="1" applyProtection="1">
      <alignment horizontal="justify"/>
      <protection locked="0"/>
    </xf>
    <xf numFmtId="0" fontId="0" fillId="2" borderId="6" xfId="0" applyFill="1" applyBorder="1" applyAlignment="1" applyProtection="1">
      <alignment horizontal="justify"/>
      <protection locked="0"/>
    </xf>
    <xf numFmtId="0" fontId="0" fillId="2" borderId="7" xfId="0" applyFill="1" applyBorder="1" applyAlignment="1" applyProtection="1">
      <alignment horizontal="justify"/>
      <protection locked="0"/>
    </xf>
    <xf numFmtId="0" fontId="0" fillId="2" borderId="4" xfId="0" applyFill="1" applyBorder="1" applyAlignment="1" applyProtection="1">
      <alignment horizontal="justify"/>
      <protection locked="0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9"/>
  <sheetViews>
    <sheetView tabSelected="1" workbookViewId="0" topLeftCell="A1">
      <selection activeCell="O140" sqref="O140"/>
    </sheetView>
  </sheetViews>
  <sheetFormatPr defaultColWidth="9.00390625" defaultRowHeight="14.25"/>
  <cols>
    <col min="1" max="1" width="1.25" style="0" customWidth="1"/>
    <col min="4" max="4" width="4.00390625" style="0" customWidth="1"/>
    <col min="5" max="5" width="4.50390625" style="0" customWidth="1"/>
    <col min="6" max="7" width="4.00390625" style="0" customWidth="1"/>
    <col min="8" max="8" width="4.125" style="0" customWidth="1"/>
    <col min="9" max="9" width="3.75390625" style="0" customWidth="1"/>
    <col min="10" max="10" width="12.75390625" style="0" bestFit="1" customWidth="1"/>
    <col min="11" max="11" width="4.75390625" style="0" customWidth="1"/>
    <col min="12" max="12" width="1.625" style="0" customWidth="1"/>
    <col min="15" max="15" width="17.375" style="0" customWidth="1"/>
    <col min="16" max="16" width="5.50390625" style="0" customWidth="1"/>
    <col min="17" max="17" width="4.75390625" style="0" customWidth="1"/>
    <col min="21" max="21" width="7.125" style="0" customWidth="1"/>
  </cols>
  <sheetData>
    <row r="1" spans="3:18" ht="25.5" customHeight="1">
      <c r="C1" s="45" t="s">
        <v>143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3" spans="2:16" ht="14.25">
      <c r="B3" t="s">
        <v>0</v>
      </c>
      <c r="C3" s="43" t="s">
        <v>32</v>
      </c>
      <c r="D3" s="43"/>
      <c r="E3" s="43"/>
      <c r="F3" s="43"/>
      <c r="G3" s="43"/>
      <c r="H3" s="43"/>
      <c r="I3" s="49"/>
      <c r="J3" s="25">
        <v>85</v>
      </c>
      <c r="K3" t="s">
        <v>1</v>
      </c>
      <c r="N3" t="s">
        <v>132</v>
      </c>
      <c r="O3" s="2"/>
      <c r="P3" t="s">
        <v>133</v>
      </c>
    </row>
    <row r="4" spans="3:16" ht="14.25">
      <c r="C4" s="43" t="s">
        <v>33</v>
      </c>
      <c r="D4" s="43"/>
      <c r="E4" s="43"/>
      <c r="F4" s="43"/>
      <c r="G4" s="43"/>
      <c r="H4" s="43"/>
      <c r="I4" s="49"/>
      <c r="J4" s="25">
        <v>264</v>
      </c>
      <c r="K4" t="s">
        <v>2</v>
      </c>
      <c r="O4" s="4"/>
      <c r="P4" t="s">
        <v>134</v>
      </c>
    </row>
    <row r="5" spans="3:16" ht="14.25">
      <c r="C5" s="43" t="s">
        <v>34</v>
      </c>
      <c r="D5" s="43"/>
      <c r="E5" s="43"/>
      <c r="F5" s="43"/>
      <c r="G5" s="43"/>
      <c r="H5" s="43"/>
      <c r="I5" s="49"/>
      <c r="J5" s="25">
        <v>50</v>
      </c>
      <c r="K5" t="s">
        <v>7</v>
      </c>
      <c r="O5" s="24"/>
      <c r="P5" t="s">
        <v>135</v>
      </c>
    </row>
    <row r="6" spans="3:11" ht="14.25">
      <c r="C6" s="43" t="s">
        <v>35</v>
      </c>
      <c r="D6" s="43"/>
      <c r="E6" s="43"/>
      <c r="F6" s="43"/>
      <c r="G6" s="43"/>
      <c r="H6" s="43"/>
      <c r="I6" s="49"/>
      <c r="J6" s="25">
        <v>60</v>
      </c>
      <c r="K6" t="s">
        <v>3</v>
      </c>
    </row>
    <row r="7" spans="3:11" ht="14.25">
      <c r="C7" s="43" t="s">
        <v>31</v>
      </c>
      <c r="D7" s="43"/>
      <c r="E7" s="43"/>
      <c r="F7" s="43"/>
      <c r="G7" s="43"/>
      <c r="H7" s="43"/>
      <c r="I7" s="49"/>
      <c r="J7" s="25">
        <v>80</v>
      </c>
      <c r="K7" t="s">
        <v>5</v>
      </c>
    </row>
    <row r="8" spans="3:11" ht="14.25">
      <c r="C8" s="43" t="s">
        <v>36</v>
      </c>
      <c r="D8" s="43"/>
      <c r="E8" s="43"/>
      <c r="F8" s="43"/>
      <c r="G8" s="43"/>
      <c r="H8" s="43"/>
      <c r="I8" s="49"/>
      <c r="J8" s="25">
        <v>100</v>
      </c>
      <c r="K8" t="s">
        <v>4</v>
      </c>
    </row>
    <row r="9" spans="3:11" ht="14.25">
      <c r="C9" s="43" t="s">
        <v>18</v>
      </c>
      <c r="D9" s="43"/>
      <c r="E9" s="43"/>
      <c r="F9" s="43"/>
      <c r="G9" s="43"/>
      <c r="H9" s="43"/>
      <c r="I9" s="43"/>
      <c r="J9" s="25">
        <v>80</v>
      </c>
      <c r="K9" t="s">
        <v>19</v>
      </c>
    </row>
    <row r="10" spans="3:9" ht="14.25">
      <c r="C10" s="3"/>
      <c r="D10" s="3"/>
      <c r="E10" s="3"/>
      <c r="F10" s="3"/>
      <c r="G10" s="3"/>
      <c r="H10" s="3"/>
      <c r="I10" s="3"/>
    </row>
    <row r="11" spans="2:9" ht="14.25">
      <c r="B11" t="s">
        <v>6</v>
      </c>
      <c r="C11" s="3"/>
      <c r="D11" s="3"/>
      <c r="E11" s="3"/>
      <c r="F11" s="3"/>
      <c r="G11" s="3"/>
      <c r="H11" s="3"/>
      <c r="I11" s="3"/>
    </row>
    <row r="12" spans="3:11" ht="14.25">
      <c r="C12" s="43" t="s">
        <v>137</v>
      </c>
      <c r="D12" s="43"/>
      <c r="E12" s="43"/>
      <c r="F12" s="43"/>
      <c r="G12" s="43"/>
      <c r="H12" s="43"/>
      <c r="I12" s="43"/>
      <c r="J12" s="4">
        <f>J3*1.2</f>
        <v>102</v>
      </c>
      <c r="K12" t="s">
        <v>8</v>
      </c>
    </row>
    <row r="13" spans="3:11" ht="14.25">
      <c r="C13" s="43" t="s">
        <v>138</v>
      </c>
      <c r="D13" s="43"/>
      <c r="E13" s="43"/>
      <c r="F13" s="43"/>
      <c r="G13" s="43"/>
      <c r="H13" s="43"/>
      <c r="I13" s="43"/>
      <c r="J13" s="5">
        <f>J4*1.4</f>
        <v>369.59999999999997</v>
      </c>
      <c r="K13" t="s">
        <v>8</v>
      </c>
    </row>
    <row r="14" spans="3:11" ht="14.25">
      <c r="C14" s="43" t="s">
        <v>30</v>
      </c>
      <c r="D14" s="43"/>
      <c r="E14" s="43"/>
      <c r="F14" s="43"/>
      <c r="G14" s="43"/>
      <c r="H14" s="43"/>
      <c r="I14" s="43"/>
      <c r="J14" s="6">
        <f>J6*100/J7</f>
        <v>75</v>
      </c>
      <c r="K14" t="s">
        <v>9</v>
      </c>
    </row>
    <row r="15" spans="3:11" ht="14.25">
      <c r="C15" s="43" t="s">
        <v>10</v>
      </c>
      <c r="D15" s="43"/>
      <c r="E15" s="43"/>
      <c r="F15" s="43"/>
      <c r="G15" s="43"/>
      <c r="H15" s="43"/>
      <c r="I15" s="43"/>
      <c r="J15" s="6">
        <f>J14/J12</f>
        <v>0.7352941176470589</v>
      </c>
      <c r="K15" t="s">
        <v>11</v>
      </c>
    </row>
    <row r="16" spans="3:10" ht="14.25">
      <c r="C16" s="3"/>
      <c r="D16" s="3"/>
      <c r="E16" s="3"/>
      <c r="F16" s="3"/>
      <c r="G16" s="3"/>
      <c r="H16" s="3"/>
      <c r="I16" s="3"/>
      <c r="J16" s="15"/>
    </row>
    <row r="17" spans="3:11" ht="14.25">
      <c r="C17" s="12" t="s">
        <v>136</v>
      </c>
      <c r="D17" s="12"/>
      <c r="E17" s="12"/>
      <c r="F17" s="12"/>
      <c r="G17" s="3"/>
      <c r="H17" s="3"/>
      <c r="I17" s="3"/>
      <c r="J17" s="26">
        <v>15</v>
      </c>
      <c r="K17" t="s">
        <v>19</v>
      </c>
    </row>
    <row r="18" spans="3:15" ht="14.25">
      <c r="C18" s="43" t="s">
        <v>12</v>
      </c>
      <c r="D18" s="43"/>
      <c r="E18" s="43"/>
      <c r="F18" s="43"/>
      <c r="G18" s="43"/>
      <c r="H18" s="43"/>
      <c r="I18" s="49"/>
      <c r="J18" s="7">
        <f>J15*0.8/(2*J5*J12*J17/100)*1000000</f>
        <v>384.46751249519417</v>
      </c>
      <c r="K18" t="s">
        <v>13</v>
      </c>
      <c r="L18" s="12"/>
      <c r="M18" s="12"/>
      <c r="N18" s="12"/>
      <c r="O18" s="14"/>
    </row>
    <row r="19" spans="3:18" ht="14.25">
      <c r="C19" s="12" t="s">
        <v>14</v>
      </c>
      <c r="D19" s="12"/>
      <c r="E19" s="12"/>
      <c r="F19" s="3"/>
      <c r="G19" s="3"/>
      <c r="H19" s="3"/>
      <c r="I19" s="10"/>
      <c r="J19" s="27">
        <v>390</v>
      </c>
      <c r="K19" t="s">
        <v>66</v>
      </c>
      <c r="L19" s="1"/>
      <c r="M19" s="1"/>
      <c r="N19" s="1"/>
      <c r="O19" s="1"/>
      <c r="P19" s="8"/>
      <c r="R19" s="1"/>
    </row>
    <row r="20" spans="3:18" ht="14.25">
      <c r="C20" s="1"/>
      <c r="D20" s="1"/>
      <c r="E20" s="1"/>
      <c r="F20" s="3"/>
      <c r="G20" s="3"/>
      <c r="H20" s="3"/>
      <c r="I20" s="10"/>
      <c r="J20" s="11"/>
      <c r="L20" s="1"/>
      <c r="M20" s="1"/>
      <c r="N20" s="1"/>
      <c r="O20" s="1"/>
      <c r="P20" s="8"/>
      <c r="R20" s="1"/>
    </row>
    <row r="21" spans="3:18" ht="14.25">
      <c r="C21" t="s">
        <v>26</v>
      </c>
      <c r="D21" s="3"/>
      <c r="E21" s="3"/>
      <c r="F21" s="3"/>
      <c r="G21" s="3"/>
      <c r="H21" s="3"/>
      <c r="I21" s="10"/>
      <c r="J21" s="11"/>
      <c r="L21" s="1"/>
      <c r="M21" s="1"/>
      <c r="N21" s="1"/>
      <c r="O21" s="1"/>
      <c r="P21" s="8"/>
      <c r="R21" s="1"/>
    </row>
    <row r="22" spans="3:20" ht="14.25">
      <c r="C22" t="s">
        <v>27</v>
      </c>
      <c r="D22" s="3"/>
      <c r="E22" s="3"/>
      <c r="F22" s="3"/>
      <c r="G22" s="3"/>
      <c r="H22" s="3"/>
      <c r="I22" s="10"/>
      <c r="J22" s="11"/>
      <c r="L22" s="1"/>
      <c r="M22" s="1"/>
      <c r="N22" s="1"/>
      <c r="O22" s="1"/>
      <c r="P22" s="8"/>
      <c r="R22" s="1"/>
      <c r="S22" s="1"/>
      <c r="T22" s="1"/>
    </row>
    <row r="24" spans="2:10" ht="14.25">
      <c r="B24" s="50" t="s">
        <v>139</v>
      </c>
      <c r="C24" s="43" t="s">
        <v>15</v>
      </c>
      <c r="D24" s="43"/>
      <c r="E24" s="43"/>
      <c r="F24" s="43"/>
      <c r="G24" s="43"/>
      <c r="H24" s="43"/>
      <c r="I24" s="43"/>
      <c r="J24" s="25">
        <v>0.6</v>
      </c>
    </row>
    <row r="25" spans="2:11" ht="14.25">
      <c r="B25" s="50"/>
      <c r="C25" s="43" t="s">
        <v>16</v>
      </c>
      <c r="D25" s="43"/>
      <c r="E25" s="43"/>
      <c r="F25" s="43"/>
      <c r="G25" s="43"/>
      <c r="H25" s="43"/>
      <c r="I25" s="43"/>
      <c r="J25" s="25">
        <v>1.75</v>
      </c>
      <c r="K25" t="s">
        <v>22</v>
      </c>
    </row>
    <row r="26" spans="2:11" ht="14.25">
      <c r="B26" s="50"/>
      <c r="C26" s="43" t="s">
        <v>38</v>
      </c>
      <c r="D26" s="43"/>
      <c r="E26" s="43"/>
      <c r="F26" s="43"/>
      <c r="G26" s="43"/>
      <c r="H26" s="43"/>
      <c r="I26" s="43"/>
      <c r="J26" s="7">
        <f>J12*J24/(1-J24)</f>
        <v>152.99999999999997</v>
      </c>
      <c r="K26" t="s">
        <v>8</v>
      </c>
    </row>
    <row r="27" spans="2:11" ht="14.25">
      <c r="B27" s="50"/>
      <c r="C27" s="43" t="s">
        <v>39</v>
      </c>
      <c r="D27" s="43"/>
      <c r="E27" s="43"/>
      <c r="F27" s="43"/>
      <c r="G27" s="43"/>
      <c r="H27" s="43"/>
      <c r="I27" s="43"/>
      <c r="J27" s="7">
        <f>J26*J25</f>
        <v>267.74999999999994</v>
      </c>
      <c r="K27" t="s">
        <v>8</v>
      </c>
    </row>
    <row r="28" spans="2:11" ht="14.25">
      <c r="B28" s="50"/>
      <c r="C28" s="43" t="s">
        <v>21</v>
      </c>
      <c r="D28" s="43"/>
      <c r="E28" s="43"/>
      <c r="F28" s="43"/>
      <c r="G28" s="43"/>
      <c r="H28" s="43"/>
      <c r="I28" s="43"/>
      <c r="J28" s="6">
        <f>J27/(J27-J26)</f>
        <v>2.3333333333333335</v>
      </c>
      <c r="K28" t="s">
        <v>22</v>
      </c>
    </row>
    <row r="29" spans="2:11" ht="14.25">
      <c r="B29" s="50"/>
      <c r="C29" s="43" t="s">
        <v>23</v>
      </c>
      <c r="D29" s="43"/>
      <c r="E29" s="43"/>
      <c r="F29" s="43"/>
      <c r="G29" s="43"/>
      <c r="H29" s="43"/>
      <c r="I29" s="43"/>
      <c r="J29" s="9">
        <f>J27+J13</f>
        <v>637.3499999999999</v>
      </c>
      <c r="K29" t="s">
        <v>25</v>
      </c>
    </row>
    <row r="30" spans="2:11" ht="14.25">
      <c r="B30" s="50"/>
      <c r="C30" s="43" t="s">
        <v>24</v>
      </c>
      <c r="D30" s="43"/>
      <c r="E30" s="43"/>
      <c r="F30" s="43"/>
      <c r="G30" s="43"/>
      <c r="H30" s="43"/>
      <c r="I30" s="43"/>
      <c r="J30" s="9">
        <f>(J25*J26+J13)/(J9/100)</f>
        <v>796.6874999999999</v>
      </c>
      <c r="K30" t="s">
        <v>8</v>
      </c>
    </row>
    <row r="32" spans="2:11" ht="14.25">
      <c r="B32" s="50" t="s">
        <v>140</v>
      </c>
      <c r="C32" s="43" t="s">
        <v>17</v>
      </c>
      <c r="D32" s="43"/>
      <c r="E32" s="43"/>
      <c r="F32" s="43"/>
      <c r="G32" s="43"/>
      <c r="H32" s="43"/>
      <c r="I32" s="43"/>
      <c r="J32" s="25">
        <v>650</v>
      </c>
      <c r="K32" t="s">
        <v>8</v>
      </c>
    </row>
    <row r="33" spans="2:11" ht="14.25">
      <c r="B33" s="50"/>
      <c r="C33" s="43" t="s">
        <v>29</v>
      </c>
      <c r="D33" s="43"/>
      <c r="E33" s="43"/>
      <c r="F33" s="43"/>
      <c r="G33" s="43"/>
      <c r="H33" s="43"/>
      <c r="I33" s="48"/>
      <c r="J33" s="25">
        <v>50</v>
      </c>
      <c r="K33" t="s">
        <v>8</v>
      </c>
    </row>
    <row r="34" spans="2:11" ht="14.25">
      <c r="B34" s="50"/>
      <c r="C34" s="43" t="s">
        <v>39</v>
      </c>
      <c r="D34" s="43"/>
      <c r="E34" s="43"/>
      <c r="F34" s="43"/>
      <c r="G34" s="43"/>
      <c r="H34" s="43"/>
      <c r="I34" s="43"/>
      <c r="J34" s="4">
        <f>J32*(J9/100)-J13</f>
        <v>150.40000000000003</v>
      </c>
      <c r="K34" t="s">
        <v>8</v>
      </c>
    </row>
    <row r="35" spans="2:11" ht="14.25">
      <c r="B35" s="50"/>
      <c r="C35" s="43" t="s">
        <v>38</v>
      </c>
      <c r="D35" s="43"/>
      <c r="E35" s="43"/>
      <c r="F35" s="43"/>
      <c r="G35" s="43"/>
      <c r="H35" s="43"/>
      <c r="I35" s="43"/>
      <c r="J35" s="4">
        <f>J34-J33</f>
        <v>100.40000000000003</v>
      </c>
      <c r="K35" t="s">
        <v>8</v>
      </c>
    </row>
    <row r="36" spans="2:11" ht="14.25">
      <c r="B36" s="50"/>
      <c r="C36" s="43" t="s">
        <v>23</v>
      </c>
      <c r="D36" s="43"/>
      <c r="E36" s="43"/>
      <c r="F36" s="43"/>
      <c r="G36" s="43"/>
      <c r="H36" s="43"/>
      <c r="I36" s="43"/>
      <c r="J36" s="5">
        <f>J34+J13</f>
        <v>520</v>
      </c>
      <c r="K36" t="s">
        <v>25</v>
      </c>
    </row>
    <row r="37" spans="2:10" ht="14.25">
      <c r="B37" s="50"/>
      <c r="C37" s="43" t="s">
        <v>20</v>
      </c>
      <c r="D37" s="43"/>
      <c r="E37" s="43"/>
      <c r="F37" s="43"/>
      <c r="G37" s="43"/>
      <c r="H37" s="43"/>
      <c r="I37" s="43"/>
      <c r="J37" s="6">
        <f>J35/(J35+J12)</f>
        <v>0.4960474308300396</v>
      </c>
    </row>
    <row r="38" spans="2:11" ht="14.25">
      <c r="B38" s="50"/>
      <c r="C38" s="43" t="s">
        <v>21</v>
      </c>
      <c r="D38" s="43"/>
      <c r="E38" s="43"/>
      <c r="F38" s="43"/>
      <c r="G38" s="43"/>
      <c r="H38" s="43"/>
      <c r="I38" s="43"/>
      <c r="J38" s="6">
        <f>J34/(J34-J35)</f>
        <v>3.008000000000001</v>
      </c>
      <c r="K38" t="s">
        <v>22</v>
      </c>
    </row>
    <row r="39" spans="3:10" ht="14.25">
      <c r="C39" s="1"/>
      <c r="D39" s="1"/>
      <c r="E39" s="1"/>
      <c r="F39" s="1"/>
      <c r="G39" s="1"/>
      <c r="H39" s="1"/>
      <c r="I39" s="1"/>
      <c r="J39" s="8"/>
    </row>
    <row r="41" spans="2:11" ht="14.25">
      <c r="B41" s="50" t="s">
        <v>141</v>
      </c>
      <c r="C41" s="43" t="s">
        <v>17</v>
      </c>
      <c r="D41" s="43"/>
      <c r="E41" s="43"/>
      <c r="F41" s="43"/>
      <c r="G41" s="43"/>
      <c r="H41" s="43"/>
      <c r="I41" s="43"/>
      <c r="J41" s="25">
        <v>700</v>
      </c>
      <c r="K41" t="s">
        <v>8</v>
      </c>
    </row>
    <row r="42" spans="2:11" ht="14.25">
      <c r="B42" s="50"/>
      <c r="C42" s="43" t="s">
        <v>28</v>
      </c>
      <c r="D42" s="43"/>
      <c r="E42" s="43"/>
      <c r="F42" s="43"/>
      <c r="G42" s="43"/>
      <c r="H42" s="43"/>
      <c r="I42" s="43"/>
      <c r="J42" s="25">
        <v>2</v>
      </c>
      <c r="K42" t="s">
        <v>22</v>
      </c>
    </row>
    <row r="43" spans="2:11" ht="14.25">
      <c r="B43" s="50"/>
      <c r="C43" s="43" t="s">
        <v>39</v>
      </c>
      <c r="D43" s="43"/>
      <c r="E43" s="43"/>
      <c r="F43" s="43"/>
      <c r="G43" s="43"/>
      <c r="H43" s="43"/>
      <c r="I43" s="43"/>
      <c r="J43" s="4">
        <f>J41*(J9/100)-J13</f>
        <v>190.40000000000003</v>
      </c>
      <c r="K43" t="s">
        <v>8</v>
      </c>
    </row>
    <row r="44" spans="2:11" ht="14.25">
      <c r="B44" s="50"/>
      <c r="C44" s="43" t="s">
        <v>38</v>
      </c>
      <c r="D44" s="43"/>
      <c r="E44" s="43"/>
      <c r="F44" s="43"/>
      <c r="G44" s="43"/>
      <c r="H44" s="43"/>
      <c r="I44" s="43"/>
      <c r="J44" s="7">
        <f>J43/J42</f>
        <v>95.20000000000002</v>
      </c>
      <c r="K44" t="s">
        <v>8</v>
      </c>
    </row>
    <row r="45" spans="2:11" ht="14.25">
      <c r="B45" s="50"/>
      <c r="C45" s="43" t="s">
        <v>23</v>
      </c>
      <c r="D45" s="43"/>
      <c r="E45" s="43"/>
      <c r="F45" s="43"/>
      <c r="G45" s="43"/>
      <c r="H45" s="43"/>
      <c r="I45" s="43"/>
      <c r="J45" s="5">
        <f>J43+J13</f>
        <v>560</v>
      </c>
      <c r="K45" t="s">
        <v>25</v>
      </c>
    </row>
    <row r="46" spans="2:10" ht="14.25">
      <c r="B46" s="50"/>
      <c r="C46" s="43" t="s">
        <v>20</v>
      </c>
      <c r="D46" s="43"/>
      <c r="E46" s="43"/>
      <c r="F46" s="43"/>
      <c r="G46" s="43"/>
      <c r="H46" s="43"/>
      <c r="I46" s="43"/>
      <c r="J46" s="6">
        <f>J44/(J44+J12)</f>
        <v>0.4827586206896552</v>
      </c>
    </row>
    <row r="47" spans="2:11" ht="14.25">
      <c r="B47" s="50"/>
      <c r="C47" s="43" t="s">
        <v>21</v>
      </c>
      <c r="D47" s="43"/>
      <c r="E47" s="43"/>
      <c r="F47" s="43"/>
      <c r="G47" s="43"/>
      <c r="H47" s="43"/>
      <c r="I47" s="43"/>
      <c r="J47" s="6">
        <f>J43/(J43-J44)</f>
        <v>2</v>
      </c>
      <c r="K47" t="s">
        <v>22</v>
      </c>
    </row>
    <row r="49" spans="3:15" ht="14.25">
      <c r="C49" s="12" t="s">
        <v>144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3:10" ht="14.25">
      <c r="C50" s="43" t="s">
        <v>37</v>
      </c>
      <c r="D50" s="43"/>
      <c r="E50" s="43"/>
      <c r="F50" s="43"/>
      <c r="G50" s="43"/>
      <c r="H50" s="43"/>
      <c r="I50" s="49"/>
      <c r="J50" s="25">
        <v>0.6</v>
      </c>
    </row>
    <row r="51" spans="3:11" ht="14.25">
      <c r="C51" s="43" t="s">
        <v>38</v>
      </c>
      <c r="D51" s="43"/>
      <c r="E51" s="43"/>
      <c r="F51" s="43"/>
      <c r="G51" s="43"/>
      <c r="H51" s="43"/>
      <c r="I51" s="49"/>
      <c r="J51" s="25">
        <v>153</v>
      </c>
      <c r="K51" t="s">
        <v>8</v>
      </c>
    </row>
    <row r="52" spans="3:11" ht="14.25">
      <c r="C52" s="43" t="s">
        <v>39</v>
      </c>
      <c r="D52" s="43"/>
      <c r="E52" s="43"/>
      <c r="F52" s="43"/>
      <c r="G52" s="43"/>
      <c r="H52" s="43"/>
      <c r="I52" s="49"/>
      <c r="J52" s="25">
        <v>267.8</v>
      </c>
      <c r="K52" t="s">
        <v>8</v>
      </c>
    </row>
    <row r="54" spans="3:14" ht="14.25">
      <c r="C54" s="12" t="s">
        <v>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3:11" ht="14.25">
      <c r="C55" s="42" t="s">
        <v>41</v>
      </c>
      <c r="D55" s="42"/>
      <c r="E55" s="42"/>
      <c r="F55" s="42"/>
      <c r="G55" s="42"/>
      <c r="H55" s="42"/>
      <c r="I55" s="42"/>
      <c r="J55" s="6">
        <f>J14*2/(J12*J50)</f>
        <v>2.450980392156863</v>
      </c>
      <c r="K55" t="s">
        <v>11</v>
      </c>
    </row>
    <row r="57" ht="14.25">
      <c r="C57" t="s">
        <v>40</v>
      </c>
    </row>
    <row r="58" spans="3:11" ht="14.25">
      <c r="C58" s="12" t="s">
        <v>49</v>
      </c>
      <c r="D58" s="12"/>
      <c r="E58" s="12"/>
      <c r="F58" s="12"/>
      <c r="G58" s="12"/>
      <c r="H58" s="12"/>
      <c r="I58" s="13" t="s">
        <v>48</v>
      </c>
      <c r="J58" s="16">
        <v>0</v>
      </c>
      <c r="K58" t="s">
        <v>11</v>
      </c>
    </row>
    <row r="59" spans="2:11" ht="14.25">
      <c r="B59" s="12"/>
      <c r="C59" s="12"/>
      <c r="D59" s="12"/>
      <c r="E59" s="12"/>
      <c r="F59" s="12"/>
      <c r="G59" s="12"/>
      <c r="H59" s="12"/>
      <c r="I59" s="13" t="s">
        <v>43</v>
      </c>
      <c r="J59" s="6">
        <f>J55</f>
        <v>2.450980392156863</v>
      </c>
      <c r="K59" t="s">
        <v>11</v>
      </c>
    </row>
    <row r="60" spans="2:11" ht="14.25">
      <c r="B60" s="12"/>
      <c r="C60" s="12"/>
      <c r="D60" s="12"/>
      <c r="E60" s="12"/>
      <c r="F60" s="12"/>
      <c r="G60" s="12"/>
      <c r="H60" s="42" t="s">
        <v>50</v>
      </c>
      <c r="I60" s="44"/>
      <c r="J60" s="6">
        <f>J59</f>
        <v>2.450980392156863</v>
      </c>
      <c r="K60" t="s">
        <v>11</v>
      </c>
    </row>
    <row r="61" spans="2:10" ht="14.25">
      <c r="B61" s="12"/>
      <c r="C61" t="s">
        <v>44</v>
      </c>
      <c r="D61" s="12"/>
      <c r="E61" s="12"/>
      <c r="F61" s="12"/>
      <c r="G61" s="12"/>
      <c r="H61" s="13"/>
      <c r="I61" s="18"/>
      <c r="J61" s="15"/>
    </row>
    <row r="62" spans="5:11" ht="14.25">
      <c r="E62" t="s">
        <v>43</v>
      </c>
      <c r="F62" s="28">
        <v>3</v>
      </c>
      <c r="G62" t="s">
        <v>45</v>
      </c>
      <c r="H62" s="1" t="s">
        <v>47</v>
      </c>
      <c r="I62" s="13" t="s">
        <v>48</v>
      </c>
      <c r="J62" s="6">
        <f>J55/(1+F62)</f>
        <v>0.6127450980392157</v>
      </c>
      <c r="K62" t="s">
        <v>11</v>
      </c>
    </row>
    <row r="63" spans="9:11" ht="14.25">
      <c r="I63" s="13" t="s">
        <v>43</v>
      </c>
      <c r="J63" s="6">
        <f>F62*J62</f>
        <v>1.8382352941176472</v>
      </c>
      <c r="K63" t="s">
        <v>11</v>
      </c>
    </row>
    <row r="64" spans="8:11" ht="14.25">
      <c r="H64" s="42" t="s">
        <v>50</v>
      </c>
      <c r="I64" s="44"/>
      <c r="J64" s="6">
        <f>J63-J62</f>
        <v>1.2254901960784315</v>
      </c>
      <c r="K64" t="s">
        <v>11</v>
      </c>
    </row>
    <row r="66" spans="3:13" ht="14.25">
      <c r="C66" s="12" t="s">
        <v>51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6:11" ht="14.25">
      <c r="F67" s="51" t="s">
        <v>55</v>
      </c>
      <c r="G67" s="51"/>
      <c r="H67" s="51"/>
      <c r="I67" s="13" t="s">
        <v>52</v>
      </c>
      <c r="J67" s="7">
        <f>J12*J50/(J8*1000*J60)*1000000</f>
        <v>249.696</v>
      </c>
      <c r="K67" t="s">
        <v>53</v>
      </c>
    </row>
    <row r="68" spans="6:11" ht="14.25">
      <c r="F68" s="51" t="s">
        <v>54</v>
      </c>
      <c r="G68" s="51"/>
      <c r="H68" s="51"/>
      <c r="I68" s="13" t="s">
        <v>52</v>
      </c>
      <c r="J68" s="7">
        <f>J12*J50/(J8*1000*J64)*1000000</f>
        <v>499.392</v>
      </c>
      <c r="K68" t="s">
        <v>53</v>
      </c>
    </row>
    <row r="70" ht="14.25">
      <c r="C70" t="s">
        <v>56</v>
      </c>
    </row>
    <row r="71" spans="3:11" ht="14.25">
      <c r="C71" s="12" t="s">
        <v>61</v>
      </c>
      <c r="D71" s="12"/>
      <c r="E71" s="12"/>
      <c r="F71" s="12"/>
      <c r="H71" s="42" t="s">
        <v>58</v>
      </c>
      <c r="I71" s="42"/>
      <c r="J71" s="25">
        <v>0.25</v>
      </c>
      <c r="K71" t="s">
        <v>64</v>
      </c>
    </row>
    <row r="72" spans="3:12" ht="14.25">
      <c r="C72" s="12" t="s">
        <v>59</v>
      </c>
      <c r="D72" s="12"/>
      <c r="E72" s="12"/>
      <c r="F72" s="12"/>
      <c r="H72" s="42" t="s">
        <v>62</v>
      </c>
      <c r="I72" s="42"/>
      <c r="J72" s="25">
        <v>450</v>
      </c>
      <c r="K72" t="s">
        <v>65</v>
      </c>
      <c r="L72" s="17">
        <v>2</v>
      </c>
    </row>
    <row r="73" spans="3:12" ht="14.25">
      <c r="C73" s="12" t="s">
        <v>60</v>
      </c>
      <c r="D73" s="12"/>
      <c r="E73" s="12"/>
      <c r="F73" s="12"/>
      <c r="H73" s="42" t="s">
        <v>63</v>
      </c>
      <c r="I73" s="42"/>
      <c r="J73" s="25">
        <v>0.3</v>
      </c>
      <c r="L73" s="17"/>
    </row>
    <row r="74" spans="6:12" ht="14.25">
      <c r="F74" s="51" t="s">
        <v>55</v>
      </c>
      <c r="G74" s="51"/>
      <c r="H74" s="51"/>
      <c r="I74" t="s">
        <v>57</v>
      </c>
      <c r="J74" s="31">
        <f>(J67*0.000001*J59^2*10000/(J72*J71*J73))^1.143</f>
        <v>0.39578140127190675</v>
      </c>
      <c r="K74" s="13" t="s">
        <v>67</v>
      </c>
      <c r="L74" s="17">
        <v>4</v>
      </c>
    </row>
    <row r="75" spans="6:12" ht="14.25">
      <c r="F75" s="51" t="s">
        <v>54</v>
      </c>
      <c r="G75" s="51"/>
      <c r="H75" s="51"/>
      <c r="I75" t="s">
        <v>57</v>
      </c>
      <c r="J75" s="31">
        <f>(J68*0.000001*J63^2*10000/(J72*J71*J73))^1.143</f>
        <v>0.4528169915089116</v>
      </c>
      <c r="K75" s="13" t="s">
        <v>67</v>
      </c>
      <c r="L75" s="17">
        <v>4</v>
      </c>
    </row>
    <row r="77" spans="3:14" ht="14.25">
      <c r="C77" t="s">
        <v>148</v>
      </c>
      <c r="J77" s="28" t="s">
        <v>147</v>
      </c>
      <c r="M77" s="37" t="s">
        <v>154</v>
      </c>
      <c r="N77" s="38"/>
    </row>
    <row r="78" spans="9:12" ht="14.25">
      <c r="I78" t="s">
        <v>68</v>
      </c>
      <c r="J78" s="30">
        <v>0.52</v>
      </c>
      <c r="K78" s="13" t="s">
        <v>67</v>
      </c>
      <c r="L78" s="17">
        <v>2</v>
      </c>
    </row>
    <row r="79" spans="9:12" ht="14.25">
      <c r="I79" t="s">
        <v>69</v>
      </c>
      <c r="J79" s="30">
        <v>0.87</v>
      </c>
      <c r="K79" s="13" t="s">
        <v>67</v>
      </c>
      <c r="L79" s="17">
        <v>2</v>
      </c>
    </row>
    <row r="80" spans="9:12" ht="14.25">
      <c r="I80" t="s">
        <v>57</v>
      </c>
      <c r="J80" s="31">
        <f>J78*J79</f>
        <v>0.4524</v>
      </c>
      <c r="K80" s="13" t="s">
        <v>67</v>
      </c>
      <c r="L80" s="17">
        <v>4</v>
      </c>
    </row>
    <row r="82" spans="3:10" ht="14.25">
      <c r="C82" s="43" t="s">
        <v>70</v>
      </c>
      <c r="D82" s="43"/>
      <c r="E82" s="43"/>
      <c r="F82" s="43"/>
      <c r="G82" s="43"/>
      <c r="H82" s="43"/>
      <c r="I82" s="43"/>
      <c r="J82" s="43"/>
    </row>
    <row r="83" spans="6:11" ht="14.25">
      <c r="F83" s="12" t="s">
        <v>55</v>
      </c>
      <c r="G83" s="12"/>
      <c r="H83" s="12"/>
      <c r="I83" t="s">
        <v>71</v>
      </c>
      <c r="J83" s="9">
        <f>J67*0.000001*J59*10000/(J71*J78)</f>
        <v>47.07692307692307</v>
      </c>
      <c r="K83" s="19" t="s">
        <v>72</v>
      </c>
    </row>
    <row r="84" spans="6:11" ht="14.25">
      <c r="F84" s="12" t="s">
        <v>54</v>
      </c>
      <c r="G84" s="12"/>
      <c r="H84" s="12"/>
      <c r="I84" t="s">
        <v>71</v>
      </c>
      <c r="J84" s="9">
        <f>J68*0.000001*J63*10000/(J71*J78)</f>
        <v>70.61538461538461</v>
      </c>
      <c r="K84" s="19" t="s">
        <v>72</v>
      </c>
    </row>
    <row r="86" ht="14.25">
      <c r="C86" t="s">
        <v>73</v>
      </c>
    </row>
    <row r="87" spans="3:11" ht="14.25">
      <c r="C87" t="s">
        <v>74</v>
      </c>
      <c r="J87" s="25">
        <v>0.7</v>
      </c>
      <c r="K87" t="s">
        <v>8</v>
      </c>
    </row>
    <row r="88" ht="14.25">
      <c r="J88" s="8"/>
    </row>
    <row r="89" spans="3:11" ht="14.25">
      <c r="C89" t="s">
        <v>77</v>
      </c>
      <c r="I89" t="s">
        <v>78</v>
      </c>
      <c r="J89" s="25">
        <v>49</v>
      </c>
      <c r="K89" t="s">
        <v>79</v>
      </c>
    </row>
    <row r="90" spans="3:11" ht="14.25">
      <c r="C90" t="s">
        <v>75</v>
      </c>
      <c r="D90" s="25">
        <v>24</v>
      </c>
      <c r="E90" t="s">
        <v>76</v>
      </c>
      <c r="J90" s="6">
        <f>(D90+J87)*J89/J51</f>
        <v>7.910457516339869</v>
      </c>
      <c r="K90" t="s">
        <v>79</v>
      </c>
    </row>
    <row r="91" spans="4:11" ht="14.25">
      <c r="D91" s="25">
        <v>18</v>
      </c>
      <c r="E91" t="s">
        <v>76</v>
      </c>
      <c r="F91" s="12"/>
      <c r="G91" s="12"/>
      <c r="H91" s="12"/>
      <c r="J91" s="6">
        <f>(D91+J87)*J89/J51</f>
        <v>5.988888888888889</v>
      </c>
      <c r="K91" t="s">
        <v>79</v>
      </c>
    </row>
    <row r="92" spans="4:11" ht="14.25">
      <c r="D92" s="25">
        <v>15</v>
      </c>
      <c r="E92" t="s">
        <v>76</v>
      </c>
      <c r="J92" s="6">
        <f>(D92+J87)*J89/J51</f>
        <v>5.028104575163399</v>
      </c>
      <c r="K92" t="s">
        <v>79</v>
      </c>
    </row>
    <row r="93" spans="4:11" ht="14.25">
      <c r="D93" s="25">
        <v>12</v>
      </c>
      <c r="E93" t="s">
        <v>76</v>
      </c>
      <c r="J93" s="6">
        <f>(D93+J87)*J89/J51</f>
        <v>4.067320261437908</v>
      </c>
      <c r="K93" t="s">
        <v>79</v>
      </c>
    </row>
    <row r="94" spans="4:11" ht="14.25">
      <c r="D94" s="25">
        <v>5</v>
      </c>
      <c r="E94" t="s">
        <v>76</v>
      </c>
      <c r="J94" s="6">
        <f>(D94+J87)*J89/J51</f>
        <v>1.8254901960784315</v>
      </c>
      <c r="K94" t="s">
        <v>79</v>
      </c>
    </row>
    <row r="96" spans="4:11" ht="14.25">
      <c r="D96" s="4">
        <f>D90</f>
        <v>24</v>
      </c>
      <c r="E96" t="s">
        <v>146</v>
      </c>
      <c r="J96" s="6">
        <f>J13/J89*ROUND(J90,0)+D96</f>
        <v>84.34285714285713</v>
      </c>
      <c r="K96" t="s">
        <v>25</v>
      </c>
    </row>
    <row r="97" spans="4:11" ht="14.25">
      <c r="D97" s="4">
        <f>D91</f>
        <v>18</v>
      </c>
      <c r="E97" t="s">
        <v>146</v>
      </c>
      <c r="F97" s="12"/>
      <c r="G97" s="12"/>
      <c r="J97" s="6">
        <f>J13/J89*ROUND(J91,0)+D97</f>
        <v>63.25714285714285</v>
      </c>
      <c r="K97" t="s">
        <v>25</v>
      </c>
    </row>
    <row r="98" spans="4:11" ht="14.25">
      <c r="D98" s="4">
        <f>D92</f>
        <v>15</v>
      </c>
      <c r="E98" t="s">
        <v>146</v>
      </c>
      <c r="J98" s="6">
        <f>J13/J89*ROUND(J92,0)+D98</f>
        <v>52.71428571428571</v>
      </c>
      <c r="K98" t="s">
        <v>25</v>
      </c>
    </row>
    <row r="99" spans="4:11" ht="14.25">
      <c r="D99" s="4">
        <f>D93</f>
        <v>12</v>
      </c>
      <c r="E99" t="s">
        <v>146</v>
      </c>
      <c r="J99" s="6">
        <f>J13/J89*ROUND(J93,0)+D99</f>
        <v>42.171428571428564</v>
      </c>
      <c r="K99" t="s">
        <v>25</v>
      </c>
    </row>
    <row r="100" spans="4:11" ht="14.25">
      <c r="D100" s="4">
        <f>D94</f>
        <v>5</v>
      </c>
      <c r="E100" t="s">
        <v>146</v>
      </c>
      <c r="J100" s="6">
        <f>J13/J89*ROUND(J94,0)+D100</f>
        <v>20.085714285714282</v>
      </c>
      <c r="K100" t="s">
        <v>25</v>
      </c>
    </row>
    <row r="101" spans="3:4" ht="14.25">
      <c r="C101" t="s">
        <v>142</v>
      </c>
      <c r="D101" s="8"/>
    </row>
    <row r="102" ht="14.25">
      <c r="D102" s="8"/>
    </row>
    <row r="103" spans="3:12" ht="14.25">
      <c r="C103" s="51" t="s">
        <v>80</v>
      </c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3:11" ht="14.25">
      <c r="C104" t="s">
        <v>82</v>
      </c>
      <c r="F104" t="s">
        <v>83</v>
      </c>
      <c r="H104" s="42" t="s">
        <v>81</v>
      </c>
      <c r="I104" s="42"/>
      <c r="J104" s="6">
        <f>SQRT(J50*J59^2/3)</f>
        <v>1.0961117536763676</v>
      </c>
      <c r="K104" t="s">
        <v>11</v>
      </c>
    </row>
    <row r="105" spans="3:12" ht="14.25">
      <c r="C105" t="s">
        <v>102</v>
      </c>
      <c r="H105" s="42" t="s">
        <v>103</v>
      </c>
      <c r="I105" s="44"/>
      <c r="J105" s="31">
        <f>J104/J72*100</f>
        <v>0.2435803897058595</v>
      </c>
      <c r="K105" s="13" t="s">
        <v>101</v>
      </c>
      <c r="L105" s="17">
        <v>2</v>
      </c>
    </row>
    <row r="106" spans="6:11" ht="14.25">
      <c r="F106" t="s">
        <v>84</v>
      </c>
      <c r="H106" s="42" t="s">
        <v>81</v>
      </c>
      <c r="I106" s="42"/>
      <c r="J106" s="6">
        <f>SQRT(J50*(J62^2+J62*J63+J63^2)/3)</f>
        <v>0.9880217828797243</v>
      </c>
      <c r="K106" t="s">
        <v>11</v>
      </c>
    </row>
    <row r="107" spans="3:12" ht="14.25">
      <c r="C107" t="s">
        <v>102</v>
      </c>
      <c r="H107" s="42" t="s">
        <v>103</v>
      </c>
      <c r="I107" s="44"/>
      <c r="J107" s="31">
        <f>J106/J72*100</f>
        <v>0.21956039619549428</v>
      </c>
      <c r="K107" s="13" t="s">
        <v>101</v>
      </c>
      <c r="L107" s="17">
        <v>2</v>
      </c>
    </row>
    <row r="108" spans="8:10" ht="14.25">
      <c r="H108" s="13"/>
      <c r="I108" s="18"/>
      <c r="J108" s="20"/>
    </row>
    <row r="109" ht="14.25">
      <c r="C109" t="s">
        <v>85</v>
      </c>
    </row>
    <row r="110" spans="3:11" ht="14.25">
      <c r="C110" t="s">
        <v>97</v>
      </c>
      <c r="H110" s="42" t="s">
        <v>86</v>
      </c>
      <c r="I110" s="42"/>
      <c r="J110" s="25">
        <v>2.5</v>
      </c>
      <c r="K110" t="s">
        <v>87</v>
      </c>
    </row>
    <row r="111" spans="8:10" ht="14.25">
      <c r="H111" s="13"/>
      <c r="I111" s="13"/>
      <c r="J111" s="8"/>
    </row>
    <row r="112" spans="3:11" ht="14.25">
      <c r="C112" t="s">
        <v>88</v>
      </c>
      <c r="H112" s="42" t="s">
        <v>89</v>
      </c>
      <c r="I112" s="42"/>
      <c r="J112" s="6">
        <f>2*J110/(1-J50)</f>
        <v>12.5</v>
      </c>
      <c r="K112" t="s">
        <v>11</v>
      </c>
    </row>
    <row r="113" spans="7:11" ht="14.25">
      <c r="G113" t="s">
        <v>46</v>
      </c>
      <c r="H113" s="42" t="s">
        <v>90</v>
      </c>
      <c r="I113" s="42"/>
      <c r="J113" s="6">
        <f>SQRT((1-J50)*J112^2/3)</f>
        <v>4.564354645876384</v>
      </c>
      <c r="K113" t="s">
        <v>11</v>
      </c>
    </row>
    <row r="114" spans="3:12" ht="14.25">
      <c r="C114" t="s">
        <v>102</v>
      </c>
      <c r="H114" s="42" t="s">
        <v>104</v>
      </c>
      <c r="I114" s="44"/>
      <c r="J114" s="31">
        <f>J113/J72*100</f>
        <v>1.0143010324169743</v>
      </c>
      <c r="K114" s="13" t="s">
        <v>101</v>
      </c>
      <c r="L114" s="17">
        <v>2</v>
      </c>
    </row>
    <row r="115" spans="8:12" ht="14.25">
      <c r="H115" s="13"/>
      <c r="I115" s="18"/>
      <c r="J115" s="20"/>
      <c r="K115" s="13"/>
      <c r="L115" s="17"/>
    </row>
    <row r="116" ht="14.25">
      <c r="C116" t="s">
        <v>91</v>
      </c>
    </row>
    <row r="117" ht="14.25">
      <c r="C117" t="s">
        <v>92</v>
      </c>
    </row>
    <row r="118" spans="3:11" ht="14.25">
      <c r="C118" t="s">
        <v>93</v>
      </c>
      <c r="H118" s="42" t="s">
        <v>94</v>
      </c>
      <c r="I118" s="42"/>
      <c r="J118" s="6">
        <f>2*J110/(1-J50)/(1+F62)</f>
        <v>3.125</v>
      </c>
      <c r="K118" t="s">
        <v>11</v>
      </c>
    </row>
    <row r="119" spans="8:11" ht="14.25">
      <c r="H119" s="42" t="s">
        <v>95</v>
      </c>
      <c r="I119" s="42"/>
      <c r="J119" s="6">
        <f>J118*F62</f>
        <v>9.375</v>
      </c>
      <c r="K119" t="s">
        <v>11</v>
      </c>
    </row>
    <row r="120" spans="7:11" ht="14.25">
      <c r="G120" t="s">
        <v>46</v>
      </c>
      <c r="H120" s="42" t="s">
        <v>96</v>
      </c>
      <c r="I120" s="42"/>
      <c r="J120" s="6">
        <f>SQRT((1-J50)*(J118^2+J118*J119+J119^2)/3)</f>
        <v>4.114253678777396</v>
      </c>
      <c r="K120" t="s">
        <v>11</v>
      </c>
    </row>
    <row r="121" spans="3:12" ht="14.25">
      <c r="C121" t="s">
        <v>102</v>
      </c>
      <c r="H121" s="42" t="s">
        <v>104</v>
      </c>
      <c r="I121" s="44"/>
      <c r="J121" s="31">
        <f>J120/J72*100</f>
        <v>0.9142785952838658</v>
      </c>
      <c r="K121" s="13" t="s">
        <v>101</v>
      </c>
      <c r="L121" s="17">
        <v>2</v>
      </c>
    </row>
    <row r="123" ht="14.25">
      <c r="C123" t="s">
        <v>98</v>
      </c>
    </row>
    <row r="124" spans="3:11" ht="14.25">
      <c r="C124" s="43" t="s">
        <v>100</v>
      </c>
      <c r="D124" s="43"/>
      <c r="E124" s="43"/>
      <c r="F124" s="43"/>
      <c r="G124" s="43"/>
      <c r="H124" s="43"/>
      <c r="I124" t="s">
        <v>99</v>
      </c>
      <c r="J124" s="6">
        <f>75/SQRT(J8*1000)</f>
        <v>0.23717082451262844</v>
      </c>
      <c r="K124" t="s">
        <v>101</v>
      </c>
    </row>
    <row r="126" ht="14.25">
      <c r="C126" t="s">
        <v>105</v>
      </c>
    </row>
    <row r="127" ht="14.25">
      <c r="C127" t="s">
        <v>145</v>
      </c>
    </row>
    <row r="128" spans="8:11" ht="14.25">
      <c r="H128" s="42" t="s">
        <v>90</v>
      </c>
      <c r="I128" s="42"/>
      <c r="J128" s="26">
        <v>4.56</v>
      </c>
      <c r="K128" t="s">
        <v>106</v>
      </c>
    </row>
    <row r="129" spans="3:13" ht="14.25">
      <c r="C129" t="s">
        <v>149</v>
      </c>
      <c r="J129" s="37" t="s">
        <v>150</v>
      </c>
      <c r="K129" s="39"/>
      <c r="L129" s="39"/>
      <c r="M129" s="38"/>
    </row>
    <row r="130" spans="3:13" ht="14.25">
      <c r="C130" s="40" t="s">
        <v>151</v>
      </c>
      <c r="D130" s="40"/>
      <c r="E130" s="40"/>
      <c r="F130" s="40"/>
      <c r="G130" s="40"/>
      <c r="H130" s="40"/>
      <c r="I130" s="41"/>
      <c r="J130" s="35">
        <v>1.36</v>
      </c>
      <c r="K130" s="19" t="s">
        <v>11</v>
      </c>
      <c r="L130" s="19"/>
      <c r="M130" s="19"/>
    </row>
    <row r="131" spans="3:13" ht="14.25">
      <c r="C131" s="33" t="s">
        <v>153</v>
      </c>
      <c r="D131" s="33"/>
      <c r="E131" s="33"/>
      <c r="F131" s="33"/>
      <c r="G131" s="33"/>
      <c r="H131" s="33"/>
      <c r="I131" s="34"/>
      <c r="J131" s="36">
        <v>1.7</v>
      </c>
      <c r="K131" s="19"/>
      <c r="L131" s="19"/>
      <c r="M131" s="19"/>
    </row>
    <row r="132" spans="3:13" ht="14.25">
      <c r="C132" s="33" t="s">
        <v>152</v>
      </c>
      <c r="D132" s="33"/>
      <c r="E132" s="33"/>
      <c r="F132" s="33"/>
      <c r="G132" s="33"/>
      <c r="H132" s="33"/>
      <c r="I132" s="34"/>
      <c r="J132" s="36">
        <v>1</v>
      </c>
      <c r="K132" s="19"/>
      <c r="L132" s="19"/>
      <c r="M132" s="19"/>
    </row>
    <row r="133" spans="3:13" ht="14.25">
      <c r="C133" t="s">
        <v>107</v>
      </c>
      <c r="D133" s="47" t="s">
        <v>110</v>
      </c>
      <c r="E133" s="47"/>
      <c r="F133" s="47"/>
      <c r="G133" s="47"/>
      <c r="H133" s="47"/>
      <c r="I133" s="47"/>
      <c r="J133" s="32">
        <f>J128</f>
        <v>4.56</v>
      </c>
      <c r="K133" s="12" t="s">
        <v>11</v>
      </c>
      <c r="L133" s="12"/>
      <c r="M133" s="12"/>
    </row>
    <row r="134" spans="3:13" ht="14.25">
      <c r="C134" t="s">
        <v>111</v>
      </c>
      <c r="D134" s="13"/>
      <c r="E134" s="13"/>
      <c r="F134" s="13"/>
      <c r="G134" s="13"/>
      <c r="H134" s="13"/>
      <c r="I134" s="13"/>
      <c r="J134" s="21"/>
      <c r="K134" s="12"/>
      <c r="L134" s="12"/>
      <c r="M134" s="12"/>
    </row>
    <row r="135" ht="14.25">
      <c r="C135" t="s">
        <v>108</v>
      </c>
    </row>
    <row r="136" ht="14.25">
      <c r="C136" t="s">
        <v>109</v>
      </c>
    </row>
    <row r="138" ht="14.25">
      <c r="C138" t="s">
        <v>112</v>
      </c>
    </row>
    <row r="139" spans="3:11" ht="14.25">
      <c r="C139" t="s">
        <v>115</v>
      </c>
      <c r="H139" s="42" t="s">
        <v>113</v>
      </c>
      <c r="I139" s="42"/>
      <c r="J139" s="25">
        <v>3.75</v>
      </c>
      <c r="K139" t="s">
        <v>114</v>
      </c>
    </row>
    <row r="140" spans="3:11" ht="14.25">
      <c r="C140" t="s">
        <v>116</v>
      </c>
      <c r="H140" s="42" t="s">
        <v>117</v>
      </c>
      <c r="I140" s="42"/>
      <c r="J140" s="4">
        <f>J52</f>
        <v>267.8</v>
      </c>
      <c r="K140" t="s">
        <v>118</v>
      </c>
    </row>
    <row r="141" spans="3:11" ht="14.25">
      <c r="C141" t="s">
        <v>128</v>
      </c>
      <c r="I141" s="13"/>
      <c r="J141" s="29">
        <v>5</v>
      </c>
      <c r="K141" t="s">
        <v>129</v>
      </c>
    </row>
    <row r="142" spans="9:10" ht="14.25">
      <c r="I142" s="13"/>
      <c r="J142" s="23"/>
    </row>
    <row r="143" spans="3:11" ht="14.25">
      <c r="C143" t="s">
        <v>119</v>
      </c>
      <c r="I143" s="13" t="s">
        <v>120</v>
      </c>
      <c r="J143" s="22">
        <f>0.5*J139*0.000001*J59^2*J140*J8*1000/(J140-J51)</f>
        <v>2.627541780700802</v>
      </c>
      <c r="K143" t="s">
        <v>121</v>
      </c>
    </row>
    <row r="144" spans="3:11" ht="14.25">
      <c r="C144" t="s">
        <v>122</v>
      </c>
      <c r="I144" s="13" t="s">
        <v>123</v>
      </c>
      <c r="J144" s="7">
        <f>J140^2/J143/1000</f>
        <v>27.29427197952001</v>
      </c>
      <c r="K144" t="s">
        <v>124</v>
      </c>
    </row>
    <row r="145" spans="3:11" ht="14.25">
      <c r="C145" t="s">
        <v>125</v>
      </c>
      <c r="I145" s="13" t="s">
        <v>126</v>
      </c>
      <c r="J145" s="6">
        <f>J139*0.000001*J59^2/(J140^2*((1+J141/100)^2-1))*1000000000</f>
        <v>3.064544490937098</v>
      </c>
      <c r="K145" t="s">
        <v>127</v>
      </c>
    </row>
    <row r="147" spans="3:11" ht="14.25">
      <c r="C147" t="s">
        <v>130</v>
      </c>
      <c r="I147" s="13" t="s">
        <v>120</v>
      </c>
      <c r="J147" s="7">
        <f>0.5*J139*0.000001*J63^2*J140*J8*1000/(J140-J51)</f>
        <v>1.4779922516442014</v>
      </c>
      <c r="K147" t="s">
        <v>121</v>
      </c>
    </row>
    <row r="148" spans="3:11" ht="14.25">
      <c r="C148" t="s">
        <v>122</v>
      </c>
      <c r="I148" s="13" t="s">
        <v>123</v>
      </c>
      <c r="J148" s="7">
        <f>J140^2/J147/1000</f>
        <v>48.52315018581334</v>
      </c>
      <c r="K148" t="s">
        <v>131</v>
      </c>
    </row>
    <row r="149" spans="3:11" ht="14.25">
      <c r="C149" t="s">
        <v>125</v>
      </c>
      <c r="I149" s="13" t="s">
        <v>126</v>
      </c>
      <c r="J149" s="6">
        <f>J139*0.000001*J63^2/(J140^2*((1+J141/100)^2-1))*1000000000</f>
        <v>1.7238062761521176</v>
      </c>
      <c r="K149" t="s">
        <v>127</v>
      </c>
    </row>
  </sheetData>
  <sheetProtection password="C3B8" sheet="1" objects="1" scenarios="1"/>
  <protectedRanges>
    <protectedRange sqref="J3:J9" name="区域1"/>
    <protectedRange sqref="J17 J19 J24 J25 J32 J33 J41 J42 J50 J51 J52 F62 J71 J72 J73 J78 J79 J87 J89 D90 D91 D92 D93 D94 J110 J128 J139 J141 D133" name="区域2"/>
  </protectedRanges>
  <mergeCells count="72">
    <mergeCell ref="H119:I119"/>
    <mergeCell ref="H120:I120"/>
    <mergeCell ref="H118:I118"/>
    <mergeCell ref="H113:I113"/>
    <mergeCell ref="C124:H124"/>
    <mergeCell ref="H114:I114"/>
    <mergeCell ref="H121:I121"/>
    <mergeCell ref="F68:H68"/>
    <mergeCell ref="F74:H74"/>
    <mergeCell ref="F75:H75"/>
    <mergeCell ref="H71:I71"/>
    <mergeCell ref="H72:I72"/>
    <mergeCell ref="H73:I73"/>
    <mergeCell ref="H107:I107"/>
    <mergeCell ref="C52:I52"/>
    <mergeCell ref="F67:H67"/>
    <mergeCell ref="C55:I55"/>
    <mergeCell ref="H60:I60"/>
    <mergeCell ref="H64:I64"/>
    <mergeCell ref="B32:B38"/>
    <mergeCell ref="B41:B47"/>
    <mergeCell ref="C103:L103"/>
    <mergeCell ref="C28:I28"/>
    <mergeCell ref="C47:I47"/>
    <mergeCell ref="C29:I29"/>
    <mergeCell ref="C36:I36"/>
    <mergeCell ref="C45:I45"/>
    <mergeCell ref="C50:I50"/>
    <mergeCell ref="C51:I51"/>
    <mergeCell ref="C3:I3"/>
    <mergeCell ref="C4:I4"/>
    <mergeCell ref="C6:I6"/>
    <mergeCell ref="B24:B30"/>
    <mergeCell ref="C24:I24"/>
    <mergeCell ref="C7:I7"/>
    <mergeCell ref="C8:I8"/>
    <mergeCell ref="C5:I5"/>
    <mergeCell ref="C12:I12"/>
    <mergeCell ref="C9:I9"/>
    <mergeCell ref="C44:I44"/>
    <mergeCell ref="C32:I32"/>
    <mergeCell ref="C35:I35"/>
    <mergeCell ref="C34:I34"/>
    <mergeCell ref="C41:I41"/>
    <mergeCell ref="C42:I42"/>
    <mergeCell ref="C43:I43"/>
    <mergeCell ref="C38:I38"/>
    <mergeCell ref="C30:I30"/>
    <mergeCell ref="C14:I14"/>
    <mergeCell ref="C15:I15"/>
    <mergeCell ref="C18:I18"/>
    <mergeCell ref="C25:I25"/>
    <mergeCell ref="C1:R1"/>
    <mergeCell ref="H128:I128"/>
    <mergeCell ref="D133:I133"/>
    <mergeCell ref="H139:I139"/>
    <mergeCell ref="C26:I26"/>
    <mergeCell ref="C27:I27"/>
    <mergeCell ref="C13:I13"/>
    <mergeCell ref="C46:I46"/>
    <mergeCell ref="C33:I33"/>
    <mergeCell ref="C37:I37"/>
    <mergeCell ref="M77:N77"/>
    <mergeCell ref="J129:M129"/>
    <mergeCell ref="C130:I130"/>
    <mergeCell ref="H140:I140"/>
    <mergeCell ref="H104:I104"/>
    <mergeCell ref="H106:I106"/>
    <mergeCell ref="C82:J82"/>
    <mergeCell ref="H105:I105"/>
    <mergeCell ref="H110:I110"/>
    <mergeCell ref="H112:I1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2010-09-04T03:24:48Z</dcterms:modified>
  <cp:category/>
  <cp:version/>
  <cp:contentType/>
  <cp:contentStatus/>
</cp:coreProperties>
</file>