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<sst xmlns="http://schemas.openxmlformats.org/spreadsheetml/2006/main" count="117" uniqueCount="87">
  <si>
    <r>
      <t>Note:</t>
    </r>
    <r>
      <rPr>
        <u val="single"/>
        <sz val="10"/>
        <color indexed="13"/>
        <rFont val="Arial"/>
        <family val="2"/>
      </rPr>
      <t xml:space="preserve"> █ </t>
    </r>
    <r>
      <rPr>
        <u val="single"/>
        <sz val="10"/>
        <rFont val="Arial"/>
        <family val="2"/>
      </rPr>
      <t>Automatic calculation</t>
    </r>
  </si>
  <si>
    <t>Note</t>
  </si>
  <si>
    <t>1. Operating Frequency</t>
  </si>
  <si>
    <t>Operating Frequency</t>
  </si>
  <si>
    <t>KHz</t>
  </si>
  <si>
    <t>Maximum Fsw</t>
  </si>
  <si>
    <t>Resonant Frequency</t>
  </si>
  <si>
    <t>300kHz~500KHz</t>
  </si>
  <si>
    <t>Minimum Operating Frequency</t>
  </si>
  <si>
    <t>2. Output</t>
  </si>
  <si>
    <r>
      <t>Output Voltage (V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2"/>
      </rPr>
      <t>)</t>
    </r>
  </si>
  <si>
    <t>V</t>
  </si>
  <si>
    <r>
      <t>Cable Drop Compensation (V</t>
    </r>
    <r>
      <rPr>
        <vertAlign val="subscript"/>
        <sz val="10"/>
        <rFont val="Arial"/>
        <family val="2"/>
      </rPr>
      <t>CDC</t>
    </r>
    <r>
      <rPr>
        <sz val="10"/>
        <rFont val="Arial"/>
        <family val="2"/>
      </rPr>
      <t>)</t>
    </r>
  </si>
  <si>
    <t>mV</t>
  </si>
  <si>
    <r>
      <t>Output Current at CC (I</t>
    </r>
    <r>
      <rPr>
        <vertAlign val="subscript"/>
        <sz val="10"/>
        <rFont val="Arial"/>
        <family val="2"/>
      </rPr>
      <t>OUT_CC</t>
    </r>
    <r>
      <rPr>
        <sz val="10"/>
        <rFont val="Arial"/>
        <family val="2"/>
      </rPr>
      <t>)</t>
    </r>
  </si>
  <si>
    <t>A</t>
  </si>
  <si>
    <t>3. Efficiency</t>
  </si>
  <si>
    <t>Converting Efficiency From Primary to Secondary</t>
  </si>
  <si>
    <t>Recommended value is 87%~92%</t>
  </si>
  <si>
    <t>Total Efficiency (Measured at PCB Terminal) From Input to Output at minimum AC input and Full Load</t>
  </si>
  <si>
    <t>Recommended value is 68%~76% at 90Vac and full Load (2~5W)</t>
  </si>
  <si>
    <r>
      <t>4. Startup time and R</t>
    </r>
    <r>
      <rPr>
        <b/>
        <i/>
        <vertAlign val="subscript"/>
        <sz val="10"/>
        <rFont val="Arial"/>
        <family val="2"/>
      </rPr>
      <t>STARTUP</t>
    </r>
    <r>
      <rPr>
        <b/>
        <i/>
        <sz val="10"/>
        <rFont val="Arial"/>
        <family val="2"/>
      </rPr>
      <t xml:space="preserve"> Power Loss</t>
    </r>
  </si>
  <si>
    <t>Startup Resistor</t>
  </si>
  <si>
    <t>KΩ</t>
  </si>
  <si>
    <t>Vcc Capacitor</t>
  </si>
  <si>
    <t>uF</t>
  </si>
  <si>
    <t>Start time @ 90Vac</t>
  </si>
  <si>
    <t>S</t>
  </si>
  <si>
    <t>Power Loss of Rvin @ 230Vac</t>
  </si>
  <si>
    <t>mW</t>
  </si>
  <si>
    <t>5. Transformer</t>
  </si>
  <si>
    <t>Ae</t>
  </si>
  <si>
    <r>
      <t>mm</t>
    </r>
    <r>
      <rPr>
        <vertAlign val="superscript"/>
        <sz val="10"/>
        <rFont val="Arial"/>
        <family val="2"/>
      </rPr>
      <t>2</t>
    </r>
  </si>
  <si>
    <r>
      <t>Turn Ratio (N</t>
    </r>
    <r>
      <rPr>
        <vertAlign val="subscript"/>
        <sz val="10"/>
        <rFont val="Arial"/>
        <family val="2"/>
      </rPr>
      <t>PRI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SEC</t>
    </r>
    <r>
      <rPr>
        <sz val="10"/>
        <rFont val="Arial"/>
        <family val="2"/>
      </rPr>
      <t>)</t>
    </r>
  </si>
  <si>
    <t>Allowed Minmum Vi_sense at Maximum Lm and Full Load</t>
  </si>
  <si>
    <t>Isense Resistor</t>
  </si>
  <si>
    <t>Ω</t>
  </si>
  <si>
    <t>Maximum Lm</t>
  </si>
  <si>
    <t>mH</t>
  </si>
  <si>
    <t>Vipk for compensating Ton_Delay</t>
  </si>
  <si>
    <t>Vin=100Vdc, Ton_delay=500ns</t>
  </si>
  <si>
    <t>Minimum Lm</t>
  </si>
  <si>
    <t>Limited Minimum Lm</t>
  </si>
  <si>
    <t xml:space="preserve">Recommended Primary winding Turns </t>
  </si>
  <si>
    <t>Turns</t>
  </si>
  <si>
    <t>Recommended Secondary winding Turns</t>
  </si>
  <si>
    <r>
      <t>Actual N</t>
    </r>
    <r>
      <rPr>
        <vertAlign val="subscript"/>
        <sz val="10"/>
        <rFont val="Arial"/>
        <family val="2"/>
      </rPr>
      <t>PRI</t>
    </r>
  </si>
  <si>
    <r>
      <t>Actual N</t>
    </r>
    <r>
      <rPr>
        <vertAlign val="subscript"/>
        <sz val="10"/>
        <rFont val="Arial"/>
        <family val="2"/>
      </rPr>
      <t>SEC</t>
    </r>
  </si>
  <si>
    <r>
      <t>Actual Turn Ratio (N</t>
    </r>
    <r>
      <rPr>
        <vertAlign val="subscript"/>
        <sz val="10"/>
        <rFont val="Arial"/>
        <family val="2"/>
      </rPr>
      <t>PRI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SEC</t>
    </r>
    <r>
      <rPr>
        <sz val="10"/>
        <rFont val="Arial"/>
        <family val="2"/>
      </rPr>
      <t>)</t>
    </r>
  </si>
  <si>
    <t>6. Isense Resistor (R3)</t>
  </si>
  <si>
    <t>R3</t>
  </si>
  <si>
    <t>Ω</t>
  </si>
  <si>
    <t xml:space="preserve">7. Lm </t>
  </si>
  <si>
    <t>Vipk For Compensating Ton_delay at Max_Lm</t>
  </si>
  <si>
    <t>Limited-1 Minimum Lm</t>
  </si>
  <si>
    <t>Limited-2 Minimum Lm</t>
  </si>
  <si>
    <t>Vipk For Compensating Ton_delay at Min_Lm</t>
  </si>
  <si>
    <t>Limited-2 Minimum Lm (verification)</t>
  </si>
  <si>
    <t>Lm tolerance</t>
  </si>
  <si>
    <t>%</t>
  </si>
  <si>
    <t>8. Magnetic Flux Density</t>
  </si>
  <si>
    <t>Maximum Magnetic Flux Density at Max_Load and low line</t>
  </si>
  <si>
    <t>Tesla</t>
  </si>
  <si>
    <t>Maximum Magnetic Flux Density at Protection Condition</t>
  </si>
  <si>
    <t>Worst Case (Protection)</t>
  </si>
  <si>
    <t>(eg. Output Short-circuit…)</t>
  </si>
  <si>
    <t>9. Vsense Resistor (R1, R2)</t>
  </si>
  <si>
    <r>
      <t>Vsense winding Turns (N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</si>
  <si>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t>R1</t>
  </si>
  <si>
    <t>R2</t>
  </si>
  <si>
    <t>KΩ</t>
  </si>
  <si>
    <t>10. Bulk cap</t>
  </si>
  <si>
    <t>Minimum AC Input Voltage</t>
  </si>
  <si>
    <t>Vac</t>
  </si>
  <si>
    <t>Line Frequency</t>
  </si>
  <si>
    <t>Hz</t>
  </si>
  <si>
    <t>Dead Time</t>
  </si>
  <si>
    <t>us</t>
  </si>
  <si>
    <r>
      <t>Maximum Turn-on Time(T</t>
    </r>
    <r>
      <rPr>
        <vertAlign val="subscript"/>
        <sz val="10"/>
        <rFont val="Arial"/>
        <family val="2"/>
      </rPr>
      <t>ON_MAX</t>
    </r>
    <r>
      <rPr>
        <sz val="10"/>
        <rFont val="Arial"/>
        <family val="0"/>
      </rPr>
      <t>)</t>
    </r>
  </si>
  <si>
    <r>
      <t>Maximum Flyback Time(T</t>
    </r>
    <r>
      <rPr>
        <vertAlign val="subscript"/>
        <sz val="10"/>
        <rFont val="Arial"/>
        <family val="2"/>
      </rPr>
      <t>FB_MAX</t>
    </r>
    <r>
      <rPr>
        <sz val="10"/>
        <rFont val="Arial"/>
        <family val="0"/>
      </rPr>
      <t>)</t>
    </r>
  </si>
  <si>
    <r>
      <t>Minimum operating Input Voltage(V</t>
    </r>
    <r>
      <rPr>
        <vertAlign val="subscript"/>
        <sz val="10"/>
        <rFont val="Arial"/>
        <family val="2"/>
      </rPr>
      <t>MIN_OP</t>
    </r>
    <r>
      <rPr>
        <sz val="10"/>
        <rFont val="Arial"/>
        <family val="0"/>
      </rPr>
      <t>)</t>
    </r>
  </si>
  <si>
    <t>Vdc</t>
  </si>
  <si>
    <t>Minimum Input Bulk Capacitor</t>
  </si>
  <si>
    <t>iW1678 Worksheet For Charger Application-Rev.A(10Nov2009)</t>
  </si>
  <si>
    <t>Minimun Reset Time</t>
  </si>
  <si>
    <t>Recommended Value is 0.75~0.85V</t>
  </si>
  <si>
    <t>The Vcc Capacitor shoud be &gt;2.2uF and Low ESR type. And 1pcs 0.1uF MLCC Capacitor should be paralleled to the Vcc E-Cap which bypass high frequency noise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</si>
</sst>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0.0%"/>
  </numFmts>
  <fonts count="20">
    <font>
      <sz val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3"/>
      <name val="Arial"/>
      <family val="2"/>
    </font>
    <font>
      <b/>
      <sz val="12"/>
      <color indexed="13"/>
      <name val="宋体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宋体"/>
      <family val="0"/>
    </font>
    <font>
      <sz val="10"/>
      <color indexed="9"/>
      <name val="宋体"/>
      <family val="0"/>
    </font>
    <font>
      <b/>
      <i/>
      <sz val="10"/>
      <color indexed="9"/>
      <name val="Arial"/>
      <family val="2"/>
    </font>
    <font>
      <sz val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ont="1" applyFill="1" applyBorder="1" applyAlignment="1">
      <alignment vertical="center"/>
    </xf>
    <xf numFmtId="172" fontId="0" fillId="2" borderId="2" xfId="19" applyNumberFormat="1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/>
    </xf>
    <xf numFmtId="0" fontId="6" fillId="2" borderId="2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0" fillId="2" borderId="2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2" fontId="0" fillId="2" borderId="2" xfId="0" applyNumberFormat="1" applyFont="1" applyFill="1" applyBorder="1" applyAlignment="1" applyProtection="1">
      <alignment vertical="center"/>
      <protection/>
    </xf>
    <xf numFmtId="0" fontId="17" fillId="2" borderId="2" xfId="0" applyFont="1" applyFill="1" applyBorder="1" applyAlignment="1">
      <alignment horizontal="left" vertical="center" wrapText="1"/>
    </xf>
    <xf numFmtId="49" fontId="18" fillId="2" borderId="0" xfId="0" applyNumberFormat="1" applyFont="1" applyFill="1" applyAlignment="1" applyProtection="1">
      <alignment vertical="center"/>
      <protection/>
    </xf>
    <xf numFmtId="0" fontId="1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73</xdr:row>
      <xdr:rowOff>9525</xdr:rowOff>
    </xdr:from>
    <xdr:to>
      <xdr:col>4</xdr:col>
      <xdr:colOff>0</xdr:colOff>
      <xdr:row>101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91154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55.00390625" style="9" customWidth="1"/>
    <col min="2" max="2" width="10.7109375" style="9" customWidth="1"/>
    <col min="3" max="3" width="7.00390625" style="9" customWidth="1"/>
    <col min="4" max="4" width="64.00390625" style="9" customWidth="1"/>
    <col min="5" max="16384" width="9.140625" style="9" customWidth="1"/>
  </cols>
  <sheetData>
    <row r="1" spans="1:4" s="1" customFormat="1" ht="21" customHeight="1">
      <c r="A1" s="44" t="s">
        <v>83</v>
      </c>
      <c r="B1" s="45"/>
      <c r="C1" s="45"/>
      <c r="D1" s="46"/>
    </row>
    <row r="2" spans="1:4" s="1" customFormat="1" ht="12.75" customHeight="1">
      <c r="A2" s="2"/>
      <c r="B2" s="3"/>
      <c r="C2" s="3"/>
      <c r="D2" s="3"/>
    </row>
    <row r="3" spans="1:4" s="1" customFormat="1" ht="12.75" customHeight="1">
      <c r="A3" s="4" t="s">
        <v>0</v>
      </c>
      <c r="B3" s="5"/>
      <c r="C3" s="6"/>
      <c r="D3" s="5"/>
    </row>
    <row r="4" spans="1:4" ht="12.75" customHeight="1">
      <c r="A4" s="7"/>
      <c r="B4" s="7"/>
      <c r="C4" s="7"/>
      <c r="D4" s="8" t="s">
        <v>1</v>
      </c>
    </row>
    <row r="5" spans="1:4" ht="12.75" customHeight="1">
      <c r="A5" s="10" t="s">
        <v>2</v>
      </c>
      <c r="B5" s="7"/>
      <c r="C5" s="7"/>
      <c r="D5" s="7"/>
    </row>
    <row r="6" spans="1:4" ht="12.75" customHeight="1">
      <c r="A6" s="11" t="s">
        <v>3</v>
      </c>
      <c r="B6" s="12">
        <v>60</v>
      </c>
      <c r="C6" s="7" t="s">
        <v>4</v>
      </c>
      <c r="D6" s="7"/>
    </row>
    <row r="7" spans="1:4" s="16" customFormat="1" ht="18" customHeight="1" hidden="1">
      <c r="A7" s="13" t="s">
        <v>5</v>
      </c>
      <c r="B7" s="14">
        <v>64</v>
      </c>
      <c r="C7" s="13" t="s">
        <v>4</v>
      </c>
      <c r="D7" s="15"/>
    </row>
    <row r="8" spans="1:4" s="16" customFormat="1" ht="23.25" customHeight="1" hidden="1">
      <c r="A8" s="13" t="s">
        <v>6</v>
      </c>
      <c r="B8" s="14">
        <v>400</v>
      </c>
      <c r="C8" s="13" t="s">
        <v>4</v>
      </c>
      <c r="D8" s="13" t="s">
        <v>7</v>
      </c>
    </row>
    <row r="9" spans="1:4" s="16" customFormat="1" ht="38.25" customHeight="1" hidden="1">
      <c r="A9" s="13" t="s">
        <v>8</v>
      </c>
      <c r="B9" s="14">
        <f>ROUND(B7*B8/(B7+B8),1)</f>
        <v>55.2</v>
      </c>
      <c r="C9" s="13" t="s">
        <v>4</v>
      </c>
      <c r="D9" s="13"/>
    </row>
    <row r="10" spans="1:4" s="16" customFormat="1" ht="38.25" customHeight="1" hidden="1">
      <c r="A10" s="13" t="s">
        <v>84</v>
      </c>
      <c r="B10" s="14">
        <f>1.2*(45/B7)*2</f>
        <v>1.6875</v>
      </c>
      <c r="C10" s="13" t="s">
        <v>77</v>
      </c>
      <c r="D10" s="13"/>
    </row>
    <row r="11" spans="1:4" ht="12.75" customHeight="1">
      <c r="A11" s="7"/>
      <c r="B11" s="17"/>
      <c r="C11" s="7"/>
      <c r="D11" s="7"/>
    </row>
    <row r="12" spans="1:4" ht="12.75" customHeight="1">
      <c r="A12" s="10" t="s">
        <v>9</v>
      </c>
      <c r="B12" s="17"/>
      <c r="C12" s="7"/>
      <c r="D12" s="7"/>
    </row>
    <row r="13" spans="1:4" ht="12.75" customHeight="1">
      <c r="A13" s="18" t="s">
        <v>10</v>
      </c>
      <c r="B13" s="17">
        <v>6</v>
      </c>
      <c r="C13" s="7" t="s">
        <v>11</v>
      </c>
      <c r="D13" s="7"/>
    </row>
    <row r="14" spans="1:4" ht="12.75" customHeight="1">
      <c r="A14" s="18" t="s">
        <v>12</v>
      </c>
      <c r="B14" s="17">
        <v>0</v>
      </c>
      <c r="C14" s="7" t="s">
        <v>13</v>
      </c>
      <c r="D14" s="7"/>
    </row>
    <row r="15" spans="1:4" ht="12.75" customHeight="1">
      <c r="A15" s="18" t="s">
        <v>14</v>
      </c>
      <c r="B15" s="17">
        <v>0.92</v>
      </c>
      <c r="C15" s="7" t="s">
        <v>15</v>
      </c>
      <c r="D15" s="7"/>
    </row>
    <row r="16" spans="1:4" ht="12.75" customHeight="1">
      <c r="A16" s="18"/>
      <c r="B16" s="17"/>
      <c r="C16" s="7"/>
      <c r="D16" s="7"/>
    </row>
    <row r="17" spans="1:4" ht="12.75" customHeight="1">
      <c r="A17" s="10" t="s">
        <v>16</v>
      </c>
      <c r="B17" s="7"/>
      <c r="C17" s="7"/>
      <c r="D17" s="7"/>
    </row>
    <row r="18" spans="1:4" ht="12.75" customHeight="1">
      <c r="A18" s="18" t="s">
        <v>17</v>
      </c>
      <c r="B18" s="19">
        <v>0.89</v>
      </c>
      <c r="C18" s="7"/>
      <c r="D18" s="20" t="s">
        <v>18</v>
      </c>
    </row>
    <row r="19" spans="1:4" ht="25.5" customHeight="1">
      <c r="A19" s="21" t="s">
        <v>19</v>
      </c>
      <c r="B19" s="19">
        <v>0.75</v>
      </c>
      <c r="C19" s="7"/>
      <c r="D19" s="22" t="s">
        <v>20</v>
      </c>
    </row>
    <row r="20" spans="1:4" ht="12.75" customHeight="1">
      <c r="A20" s="10"/>
      <c r="B20" s="7"/>
      <c r="C20" s="7"/>
      <c r="D20" s="20"/>
    </row>
    <row r="21" spans="1:4" ht="12.75" customHeight="1">
      <c r="A21" s="10" t="s">
        <v>21</v>
      </c>
      <c r="B21" s="7"/>
      <c r="C21" s="7"/>
      <c r="D21" s="23"/>
    </row>
    <row r="22" spans="1:4" ht="12.75" customHeight="1">
      <c r="A22" s="18" t="s">
        <v>22</v>
      </c>
      <c r="B22" s="17">
        <v>6000</v>
      </c>
      <c r="C22" s="7" t="s">
        <v>23</v>
      </c>
      <c r="D22" s="23"/>
    </row>
    <row r="23" spans="1:4" ht="39" customHeight="1">
      <c r="A23" s="7" t="s">
        <v>24</v>
      </c>
      <c r="B23" s="17">
        <v>2.2</v>
      </c>
      <c r="C23" s="7" t="s">
        <v>25</v>
      </c>
      <c r="D23" s="24" t="s">
        <v>86</v>
      </c>
    </row>
    <row r="24" spans="1:4" ht="12.75" customHeight="1">
      <c r="A24" s="7" t="s">
        <v>26</v>
      </c>
      <c r="B24" s="12">
        <f>ROUND((B23*11.5)/(90*1.41*1000/B22-12),2)</f>
        <v>2.77</v>
      </c>
      <c r="C24" s="7" t="s">
        <v>27</v>
      </c>
      <c r="D24" s="25"/>
    </row>
    <row r="25" spans="1:4" ht="12.75" customHeight="1">
      <c r="A25" s="7" t="s">
        <v>28</v>
      </c>
      <c r="B25" s="12">
        <f>ROUND((230*1.41)^2/B22,0)</f>
        <v>18</v>
      </c>
      <c r="C25" s="7" t="s">
        <v>29</v>
      </c>
      <c r="D25" s="25"/>
    </row>
    <row r="26" spans="1:4" ht="12.75" customHeight="1">
      <c r="A26" s="7"/>
      <c r="B26" s="7"/>
      <c r="C26" s="7"/>
      <c r="D26" s="25"/>
    </row>
    <row r="27" spans="1:4" ht="12.75" customHeight="1">
      <c r="A27" s="10" t="s">
        <v>30</v>
      </c>
      <c r="B27" s="7"/>
      <c r="C27" s="7"/>
      <c r="D27" s="25"/>
    </row>
    <row r="28" spans="1:4" ht="12.75" customHeight="1">
      <c r="A28" s="7" t="s">
        <v>31</v>
      </c>
      <c r="B28" s="17">
        <v>17.1</v>
      </c>
      <c r="C28" s="7" t="s">
        <v>32</v>
      </c>
      <c r="D28" s="25"/>
    </row>
    <row r="29" spans="1:4" ht="12.75" customHeight="1">
      <c r="A29" s="18" t="s">
        <v>33</v>
      </c>
      <c r="B29" s="17">
        <v>15</v>
      </c>
      <c r="C29" s="7"/>
      <c r="D29" s="26" t="str">
        <f>CONCATENATE("Recommended Turn-Ratio is ",ROUND(70/(B13+B14/1000),1),"~",ROUND(100/(B13+B14/1000),1))</f>
        <v>Recommended Turn-Ratio is 11.7~16.7</v>
      </c>
    </row>
    <row r="30" spans="1:4" ht="12.75" customHeight="1">
      <c r="A30" s="18" t="s">
        <v>34</v>
      </c>
      <c r="B30" s="17">
        <v>0.8</v>
      </c>
      <c r="C30" s="7" t="s">
        <v>11</v>
      </c>
      <c r="D30" s="26" t="s">
        <v>85</v>
      </c>
    </row>
    <row r="31" spans="1:4" s="28" customFormat="1" ht="12" customHeight="1" hidden="1">
      <c r="A31" s="18" t="s">
        <v>35</v>
      </c>
      <c r="B31" s="18">
        <f>ROUND(0.422*B29*B18/(2*B15),3)</f>
        <v>3.062</v>
      </c>
      <c r="C31" s="18" t="s">
        <v>36</v>
      </c>
      <c r="D31" s="27"/>
    </row>
    <row r="32" spans="1:4" s="28" customFormat="1" ht="14.25" customHeight="1" hidden="1">
      <c r="A32" s="18" t="s">
        <v>37</v>
      </c>
      <c r="B32" s="18">
        <f>ROUND((2*(B13+B14/1000)*B15)/(B7*B18*((B30+0.05)/B31)^2),2)</f>
        <v>2.52</v>
      </c>
      <c r="C32" s="18" t="s">
        <v>38</v>
      </c>
      <c r="D32" s="27"/>
    </row>
    <row r="33" spans="1:4" s="28" customFormat="1" ht="12.75" customHeight="1" hidden="1">
      <c r="A33" s="18" t="s">
        <v>39</v>
      </c>
      <c r="B33" s="18">
        <f>ROUND(100*0.5*B31/B32/1000,3)</f>
        <v>0.061</v>
      </c>
      <c r="C33" s="18" t="s">
        <v>11</v>
      </c>
      <c r="D33" s="18" t="s">
        <v>40</v>
      </c>
    </row>
    <row r="34" spans="1:4" s="28" customFormat="1" ht="15.75" customHeight="1" hidden="1">
      <c r="A34" s="18" t="s">
        <v>41</v>
      </c>
      <c r="B34" s="18">
        <f>ROUND((2*(B13+B14/1000)*B15)/(B9*B18*(1/B31)^2),2)</f>
        <v>2.11</v>
      </c>
      <c r="C34" s="18" t="s">
        <v>38</v>
      </c>
      <c r="D34" s="27"/>
    </row>
    <row r="35" spans="1:4" s="28" customFormat="1" ht="18" customHeight="1" hidden="1">
      <c r="A35" s="18" t="s">
        <v>39</v>
      </c>
      <c r="B35" s="18">
        <f>ROUND(100*0.5*B31/B34/1000,3)</f>
        <v>0.073</v>
      </c>
      <c r="C35" s="18" t="s">
        <v>11</v>
      </c>
      <c r="D35" s="18" t="s">
        <v>40</v>
      </c>
    </row>
    <row r="36" spans="1:4" s="28" customFormat="1" ht="18" customHeight="1" hidden="1">
      <c r="A36" s="18" t="s">
        <v>42</v>
      </c>
      <c r="B36" s="18">
        <f>ROUND((0.422*B10*B18*B29^2*B13)/(0.5*B15*1000),2)</f>
        <v>1.86</v>
      </c>
      <c r="C36" s="18" t="s">
        <v>38</v>
      </c>
      <c r="D36" s="18"/>
    </row>
    <row r="37" spans="1:4" ht="12.75" customHeight="1">
      <c r="A37" s="7" t="s">
        <v>43</v>
      </c>
      <c r="B37" s="12">
        <f>ROUND(B32*((1+B33)/B31)*1000/B28/0.32,0)</f>
        <v>160</v>
      </c>
      <c r="C37" s="7" t="s">
        <v>44</v>
      </c>
      <c r="D37" s="26"/>
    </row>
    <row r="38" spans="1:4" ht="12.75" customHeight="1">
      <c r="A38" s="7" t="s">
        <v>45</v>
      </c>
      <c r="B38" s="12">
        <f>ROUND(B37/B29,1)</f>
        <v>10.7</v>
      </c>
      <c r="C38" s="7" t="s">
        <v>44</v>
      </c>
      <c r="D38" s="29"/>
    </row>
    <row r="39" spans="1:4" ht="12.75" customHeight="1">
      <c r="A39" s="7" t="s">
        <v>46</v>
      </c>
      <c r="B39" s="17">
        <v>168</v>
      </c>
      <c r="C39" s="7" t="s">
        <v>44</v>
      </c>
      <c r="D39" s="29"/>
    </row>
    <row r="40" spans="1:4" ht="12.75" customHeight="1">
      <c r="A40" s="7" t="s">
        <v>47</v>
      </c>
      <c r="B40" s="17">
        <v>11</v>
      </c>
      <c r="C40" s="7" t="s">
        <v>44</v>
      </c>
      <c r="D40" s="29"/>
    </row>
    <row r="41" spans="1:4" ht="12.75" customHeight="1">
      <c r="A41" s="18" t="s">
        <v>48</v>
      </c>
      <c r="B41" s="30">
        <f>ROUND(B39/B40,2)</f>
        <v>15.27</v>
      </c>
      <c r="C41" s="7"/>
      <c r="D41" s="29"/>
    </row>
    <row r="42" spans="1:4" ht="12.75" customHeight="1">
      <c r="A42" s="7"/>
      <c r="B42" s="17"/>
      <c r="C42" s="7"/>
      <c r="D42" s="29"/>
    </row>
    <row r="43" spans="1:4" ht="12.75" customHeight="1">
      <c r="A43" s="10" t="s">
        <v>49</v>
      </c>
      <c r="B43" s="7"/>
      <c r="C43" s="7"/>
      <c r="D43" s="7"/>
    </row>
    <row r="44" spans="1:4" ht="12.75" customHeight="1">
      <c r="A44" s="7" t="s">
        <v>50</v>
      </c>
      <c r="B44" s="12">
        <f>ROUND(0.422*B18*(B39/B40)/B15/2,3)</f>
        <v>3.117</v>
      </c>
      <c r="C44" s="7" t="s">
        <v>51</v>
      </c>
      <c r="D44" s="7"/>
    </row>
    <row r="45" spans="1:4" ht="12.75" customHeight="1">
      <c r="A45" s="7"/>
      <c r="B45" s="7"/>
      <c r="C45" s="7"/>
      <c r="D45" s="7"/>
    </row>
    <row r="46" spans="1:4" ht="12.75" customHeight="1">
      <c r="A46" s="10" t="s">
        <v>52</v>
      </c>
      <c r="B46" s="7"/>
      <c r="C46" s="7"/>
      <c r="D46" s="7"/>
    </row>
    <row r="47" spans="1:4" ht="12.75" customHeight="1">
      <c r="A47" s="7" t="s">
        <v>37</v>
      </c>
      <c r="B47" s="12">
        <f>ROUND((2*(B13+B14/1000)*B15)/(B7*B18*((B30+B33)/B44)^2),2)</f>
        <v>2.54</v>
      </c>
      <c r="C47" s="7" t="s">
        <v>38</v>
      </c>
      <c r="D47" s="31" t="str">
        <f>CONCATENATE("Ipri_max =",ROUND(((2*(B13+B14/1000)*B15*1000000)/(B47*B9*B18))^0.5,0),"mA with Max_Lm at full Load")</f>
        <v>Ipri_max =297mA with Max_Lm at full Load</v>
      </c>
    </row>
    <row r="48" spans="1:4" s="32" customFormat="1" ht="17.25" customHeight="1" hidden="1">
      <c r="A48" s="13" t="s">
        <v>53</v>
      </c>
      <c r="B48" s="13">
        <f>ROUND(100*0.5*B44/B47/1000,3)</f>
        <v>0.061</v>
      </c>
      <c r="C48" s="13" t="s">
        <v>11</v>
      </c>
      <c r="D48" s="15" t="s">
        <v>40</v>
      </c>
    </row>
    <row r="49" spans="1:4" s="32" customFormat="1" ht="21" customHeight="1" hidden="1">
      <c r="A49" s="13" t="s">
        <v>54</v>
      </c>
      <c r="B49" s="13">
        <f>ROUND((0.422*B10*B18*(B39/B40)^2*B13)/(0.5*B15*1000),2)</f>
        <v>1.93</v>
      </c>
      <c r="C49" s="13" t="s">
        <v>38</v>
      </c>
      <c r="D49" s="13"/>
    </row>
    <row r="50" spans="1:4" s="32" customFormat="1" ht="12" customHeight="1" hidden="1">
      <c r="A50" s="13" t="s">
        <v>55</v>
      </c>
      <c r="B50" s="13">
        <f>ROUND((2*(B13+B14/1000)*B15)/(B9*B18*(1.05/B44)^2),2)</f>
        <v>1.98</v>
      </c>
      <c r="C50" s="13" t="s">
        <v>38</v>
      </c>
      <c r="D50" s="15"/>
    </row>
    <row r="51" spans="1:4" s="32" customFormat="1" ht="14.25" customHeight="1" hidden="1">
      <c r="A51" s="13" t="s">
        <v>56</v>
      </c>
      <c r="B51" s="13">
        <f>ROUND(100*0.5*B44/B50/1000,3)</f>
        <v>0.079</v>
      </c>
      <c r="C51" s="13" t="s">
        <v>11</v>
      </c>
      <c r="D51" s="15" t="s">
        <v>40</v>
      </c>
    </row>
    <row r="52" spans="1:4" s="32" customFormat="1" ht="15" customHeight="1" hidden="1">
      <c r="A52" s="13" t="s">
        <v>57</v>
      </c>
      <c r="B52" s="13">
        <f>IF(B51&gt;0.05,ROUND((2*(B13+B14/1000)*B15)/(B9*B18*((1.05-(B51-0.05))/B44)^2),2),B50)</f>
        <v>2.09</v>
      </c>
      <c r="C52" s="13" t="s">
        <v>38</v>
      </c>
      <c r="D52" s="13"/>
    </row>
    <row r="53" spans="1:4" ht="12.75" customHeight="1">
      <c r="A53" s="7" t="s">
        <v>41</v>
      </c>
      <c r="B53" s="12">
        <f>IF(B52&gt;B49,B52,B49)</f>
        <v>2.09</v>
      </c>
      <c r="C53" s="7" t="s">
        <v>38</v>
      </c>
      <c r="D53" s="31" t="str">
        <f>CONCATENATE("Ipri_max =",ROUND(((2*(B13+B14/1000)*B15*1000000)/(B53*B9*B18))^0.5,0),"mA with Min_Lm at full Load")</f>
        <v>Ipri_max =328mA with Min_Lm at full Load</v>
      </c>
    </row>
    <row r="54" spans="1:4" ht="12.75" customHeight="1">
      <c r="A54" s="7" t="s">
        <v>58</v>
      </c>
      <c r="B54" s="33" t="str">
        <f>CONCATENATE("± ",ROUND((B47-((B47+B53)/2))/((B47+B53)/2)*100,1))</f>
        <v>± 9.7</v>
      </c>
      <c r="C54" s="7" t="s">
        <v>59</v>
      </c>
      <c r="D54" s="31"/>
    </row>
    <row r="55" spans="1:4" ht="12.75" customHeight="1">
      <c r="A55" s="7"/>
      <c r="B55" s="34"/>
      <c r="C55" s="7"/>
      <c r="D55" s="31"/>
    </row>
    <row r="56" spans="1:4" ht="12.75" customHeight="1">
      <c r="A56" s="10" t="s">
        <v>60</v>
      </c>
      <c r="B56" s="34"/>
      <c r="C56" s="7"/>
      <c r="D56" s="31"/>
    </row>
    <row r="57" spans="1:4" ht="12.75" customHeight="1">
      <c r="A57" s="7" t="s">
        <v>61</v>
      </c>
      <c r="B57" s="33">
        <f>ROUND((B47*(1+B48)*1000/B44)/(B39*B28),3)</f>
        <v>0.301</v>
      </c>
      <c r="C57" s="7" t="s">
        <v>62</v>
      </c>
      <c r="D57" s="31"/>
    </row>
    <row r="58" spans="1:4" s="36" customFormat="1" ht="12.75" customHeight="1">
      <c r="A58" s="35" t="s">
        <v>63</v>
      </c>
      <c r="B58" s="47">
        <f>ROUND((B47*(1.1+B48)*1000/B44)/(B39*B28),3)</f>
        <v>0.329</v>
      </c>
      <c r="C58" s="48" t="s">
        <v>62</v>
      </c>
      <c r="D58" s="49" t="s">
        <v>64</v>
      </c>
    </row>
    <row r="59" spans="1:4" s="36" customFormat="1" ht="12.75" customHeight="1">
      <c r="A59" s="35" t="s">
        <v>65</v>
      </c>
      <c r="B59" s="47"/>
      <c r="C59" s="48"/>
      <c r="D59" s="49"/>
    </row>
    <row r="60" spans="1:4" ht="12.75" customHeight="1">
      <c r="A60" s="7"/>
      <c r="B60" s="7"/>
      <c r="C60" s="7"/>
      <c r="D60" s="29"/>
    </row>
    <row r="61" spans="1:4" ht="12.75" customHeight="1">
      <c r="A61" s="10" t="s">
        <v>66</v>
      </c>
      <c r="B61" s="7"/>
      <c r="C61" s="7"/>
      <c r="D61" s="29"/>
    </row>
    <row r="62" spans="1:4" ht="12.75" customHeight="1">
      <c r="A62" s="7" t="s">
        <v>67</v>
      </c>
      <c r="B62" s="17">
        <v>18</v>
      </c>
      <c r="C62" s="7" t="s">
        <v>44</v>
      </c>
      <c r="D62" s="29"/>
    </row>
    <row r="63" spans="1:4" ht="12.75" customHeight="1">
      <c r="A63" s="7" t="s">
        <v>68</v>
      </c>
      <c r="B63" s="17">
        <v>33</v>
      </c>
      <c r="C63" s="7" t="str">
        <f>"KΩ"</f>
        <v>KΩ</v>
      </c>
      <c r="D63" s="26" t="str">
        <f>CONCATENATE("R1 should be &gt; ",ROUND(374*B62/B39/2,0),"KΩ")</f>
        <v>R1 should be &gt; 20KΩ</v>
      </c>
    </row>
    <row r="64" spans="1:4" ht="12.75" customHeight="1">
      <c r="A64" s="7" t="s">
        <v>69</v>
      </c>
      <c r="B64" s="12">
        <f>ROUND(B63/(((B13+0.2)/1.538)*(B62/B40)-1),3)</f>
        <v>5.897</v>
      </c>
      <c r="C64" s="7" t="s">
        <v>70</v>
      </c>
      <c r="D64" s="7"/>
    </row>
    <row r="65" spans="1:4" ht="12.75" customHeight="1">
      <c r="A65" s="7"/>
      <c r="B65" s="7"/>
      <c r="C65" s="7"/>
      <c r="D65" s="7"/>
    </row>
    <row r="66" spans="1:4" ht="12.75" customHeight="1">
      <c r="A66" s="10" t="s">
        <v>71</v>
      </c>
      <c r="B66" s="7"/>
      <c r="C66" s="7"/>
      <c r="D66" s="7"/>
    </row>
    <row r="67" spans="1:4" ht="12.75" customHeight="1">
      <c r="A67" s="7" t="s">
        <v>72</v>
      </c>
      <c r="B67" s="17">
        <v>90</v>
      </c>
      <c r="C67" s="7" t="s">
        <v>73</v>
      </c>
      <c r="D67" s="7"/>
    </row>
    <row r="68" spans="1:6" ht="12.75" customHeight="1">
      <c r="A68" s="7" t="s">
        <v>74</v>
      </c>
      <c r="B68" s="17">
        <v>50</v>
      </c>
      <c r="C68" s="7" t="s">
        <v>75</v>
      </c>
      <c r="D68" s="7"/>
      <c r="F68" s="37"/>
    </row>
    <row r="69" spans="1:6" s="16" customFormat="1" ht="18.75" customHeight="1" hidden="1">
      <c r="A69" s="13" t="s">
        <v>76</v>
      </c>
      <c r="B69" s="38">
        <f>ROUND(1.5*1000/B8,2)</f>
        <v>3.75</v>
      </c>
      <c r="C69" s="13" t="s">
        <v>77</v>
      </c>
      <c r="D69" s="39"/>
      <c r="F69" s="40"/>
    </row>
    <row r="70" spans="1:4" s="16" customFormat="1" ht="18.75" customHeight="1" hidden="1">
      <c r="A70" s="13" t="s">
        <v>78</v>
      </c>
      <c r="B70" s="41">
        <f>(B47*((0.95+B48)/B44)^2*10^3*B18)/(((B13+B14/1000)*B15)*2)-B71-B69</f>
        <v>9.491531747656703</v>
      </c>
      <c r="C70" s="13" t="s">
        <v>77</v>
      </c>
      <c r="D70" s="42"/>
    </row>
    <row r="71" spans="1:4" s="16" customFormat="1" ht="17.25" customHeight="1" hidden="1">
      <c r="A71" s="13" t="s">
        <v>79</v>
      </c>
      <c r="B71" s="41">
        <f>(B47*(0.95+B48)*1000/B44)/(((B13+B14/1000)+0.5)*B41)</f>
        <v>8.300336059950771</v>
      </c>
      <c r="C71" s="13" t="s">
        <v>77</v>
      </c>
      <c r="D71" s="42"/>
    </row>
    <row r="72" spans="1:4" s="16" customFormat="1" ht="18.75" customHeight="1" hidden="1">
      <c r="A72" s="13" t="s">
        <v>80</v>
      </c>
      <c r="B72" s="38">
        <f>ROUND((B13+B14/1000+0.5)*B71*B41/B70,2)</f>
        <v>86.8</v>
      </c>
      <c r="C72" s="13" t="s">
        <v>81</v>
      </c>
      <c r="D72" s="42"/>
    </row>
    <row r="73" spans="1:6" ht="12.75" customHeight="1">
      <c r="A73" s="7" t="s">
        <v>82</v>
      </c>
      <c r="B73" s="30">
        <f>ROUND(2*((B13+B14/1000)*B15/B19)*(0.25+(ASIN(B72/(1.41*B67)))/6.28)/(B68*((1.41*B67)^2-B72^2))*10^6,1)</f>
        <v>12.7</v>
      </c>
      <c r="C73" s="7" t="s">
        <v>25</v>
      </c>
      <c r="D73" s="24"/>
      <c r="F73" s="43"/>
    </row>
    <row r="74" s="32" customFormat="1" ht="12.75" customHeight="1"/>
    <row r="75" spans="1:4" ht="12.75" customHeight="1">
      <c r="A75" s="32"/>
      <c r="B75" s="32"/>
      <c r="C75" s="32"/>
      <c r="D75" s="32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sheetProtection password="F145" sheet="1" objects="1" scenarios="1"/>
  <mergeCells count="4">
    <mergeCell ref="A1:D1"/>
    <mergeCell ref="B58:B59"/>
    <mergeCell ref="C58:C59"/>
    <mergeCell ref="D58:D5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iWatt,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Zheng</dc:creator>
  <cp:keywords/>
  <dc:description/>
  <cp:lastModifiedBy>Yong Li</cp:lastModifiedBy>
  <dcterms:created xsi:type="dcterms:W3CDTF">2009-11-10T08:04:50Z</dcterms:created>
  <dcterms:modified xsi:type="dcterms:W3CDTF">2010-08-26T02:23:30Z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