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<sst xmlns="http://schemas.openxmlformats.org/spreadsheetml/2006/main" count="85" uniqueCount="84">
  <si>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单端反激式开关电源变压器设计</t>
  </si>
  <si>
    <t>初级参数</t>
  </si>
  <si>
    <t>输入</t>
  </si>
  <si>
    <t>计算结果</t>
  </si>
  <si>
    <r>
      <t>输入电压（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</si>
  <si>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acmin</t>
    </r>
  </si>
  <si>
    <r>
      <t>V</t>
    </r>
    <r>
      <rPr>
        <b/>
        <vertAlign val="subscript"/>
        <sz val="12"/>
        <rFont val="Times New Roman"/>
        <family val="1"/>
      </rPr>
      <t>dcmin</t>
    </r>
  </si>
  <si>
    <r>
      <t>V</t>
    </r>
    <r>
      <rPr>
        <b/>
        <vertAlign val="subscript"/>
        <sz val="12"/>
        <rFont val="Times New Roman"/>
        <family val="1"/>
      </rPr>
      <t>acmax</t>
    </r>
  </si>
  <si>
    <r>
      <t>V</t>
    </r>
    <r>
      <rPr>
        <b/>
        <vertAlign val="subscript"/>
        <sz val="12"/>
        <rFont val="Times New Roman"/>
        <family val="1"/>
      </rPr>
      <t>dcmax</t>
    </r>
  </si>
  <si>
    <r>
      <t>电源功率（</t>
    </r>
    <r>
      <rPr>
        <b/>
        <sz val="12"/>
        <rFont val="Times New Roman"/>
        <family val="1"/>
      </rPr>
      <t>W</t>
    </r>
    <r>
      <rPr>
        <b/>
        <sz val="12"/>
        <rFont val="宋体"/>
        <family val="0"/>
      </rPr>
      <t>）</t>
    </r>
  </si>
  <si>
    <r>
      <t>P</t>
    </r>
    <r>
      <rPr>
        <b/>
        <vertAlign val="subscript"/>
        <sz val="12"/>
        <rFont val="Times New Roman"/>
        <family val="1"/>
      </rPr>
      <t>out</t>
    </r>
  </si>
  <si>
    <r>
      <t>反射电压（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</si>
  <si>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f</t>
    </r>
  </si>
  <si>
    <r>
      <t>预设效率（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0"/>
      </rPr>
      <t>）</t>
    </r>
  </si>
  <si>
    <t>η</t>
  </si>
  <si>
    <r>
      <t>周期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μ</t>
    </r>
    <r>
      <rPr>
        <b/>
        <sz val="12"/>
        <rFont val="Times New Roman"/>
        <family val="1"/>
      </rPr>
      <t>s</t>
    </r>
  </si>
  <si>
    <t>T</t>
  </si>
  <si>
    <r>
      <t>工作频率（</t>
    </r>
    <r>
      <rPr>
        <b/>
        <sz val="12"/>
        <rFont val="Times New Roman"/>
        <family val="1"/>
      </rPr>
      <t>KHz</t>
    </r>
    <r>
      <rPr>
        <b/>
        <sz val="12"/>
        <rFont val="宋体"/>
        <family val="0"/>
      </rPr>
      <t>）</t>
    </r>
  </si>
  <si>
    <t>f</t>
  </si>
  <si>
    <r>
      <t>最大导通时间</t>
    </r>
    <r>
      <rPr>
        <b/>
        <sz val="12"/>
        <rFont val="Times New Roman"/>
        <family val="1"/>
      </rPr>
      <t>(  μs)</t>
    </r>
  </si>
  <si>
    <t>t</t>
  </si>
  <si>
    <r>
      <t>V</t>
    </r>
    <r>
      <rPr>
        <b/>
        <vertAlign val="subscript"/>
        <sz val="12"/>
        <rFont val="Times New Roman"/>
        <family val="1"/>
      </rPr>
      <t>mosmax</t>
    </r>
  </si>
  <si>
    <t>最大占空比</t>
  </si>
  <si>
    <r>
      <t>D</t>
    </r>
    <r>
      <rPr>
        <b/>
        <vertAlign val="subscript"/>
        <sz val="12"/>
        <rFont val="Times New Roman"/>
        <family val="1"/>
      </rPr>
      <t>max</t>
    </r>
  </si>
  <si>
    <r>
      <t>输入功率（</t>
    </r>
    <r>
      <rPr>
        <b/>
        <sz val="12"/>
        <rFont val="Times New Roman"/>
        <family val="1"/>
      </rPr>
      <t>W</t>
    </r>
    <r>
      <rPr>
        <b/>
        <sz val="12"/>
        <rFont val="宋体"/>
        <family val="0"/>
      </rPr>
      <t>）</t>
    </r>
  </si>
  <si>
    <t>Pin</t>
  </si>
  <si>
    <t>初级电流</t>
  </si>
  <si>
    <r>
      <t>最大电感量（</t>
    </r>
    <r>
      <rPr>
        <b/>
        <sz val="12"/>
        <rFont val="Times New Roman"/>
        <family val="1"/>
      </rPr>
      <t>mH</t>
    </r>
    <r>
      <rPr>
        <b/>
        <sz val="12"/>
        <rFont val="宋体"/>
        <family val="0"/>
      </rPr>
      <t>）</t>
    </r>
  </si>
  <si>
    <t>Lp</t>
  </si>
  <si>
    <t>磁芯预选：</t>
  </si>
  <si>
    <t>EE13</t>
  </si>
  <si>
    <t>初级次级匝数比</t>
  </si>
  <si>
    <t>n</t>
  </si>
  <si>
    <r>
      <t>磁芯气隙（</t>
    </r>
    <r>
      <rPr>
        <b/>
        <sz val="12"/>
        <rFont val="Times New Roman"/>
        <family val="1"/>
      </rPr>
      <t>cm</t>
    </r>
    <r>
      <rPr>
        <b/>
        <sz val="12"/>
        <rFont val="宋体"/>
        <family val="0"/>
      </rPr>
      <t>）</t>
    </r>
  </si>
  <si>
    <t>lg</t>
  </si>
  <si>
    <r>
      <t>磁芯截面（</t>
    </r>
    <r>
      <rPr>
        <b/>
        <sz val="12"/>
        <rFont val="Times New Roman"/>
        <family val="1"/>
      </rPr>
      <t>mm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</si>
  <si>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t>Ae</t>
  </si>
  <si>
    <r>
      <t>初级匝数（</t>
    </r>
    <r>
      <rPr>
        <b/>
        <sz val="12"/>
        <rFont val="Times New Roman"/>
        <family val="1"/>
      </rPr>
      <t>Turn</t>
    </r>
    <r>
      <rPr>
        <b/>
        <sz val="12"/>
        <rFont val="宋体"/>
        <family val="0"/>
      </rPr>
      <t>）</t>
    </r>
  </si>
  <si>
    <t>Np</t>
  </si>
  <si>
    <r>
      <t>磁感应强度（</t>
    </r>
    <r>
      <rPr>
        <b/>
        <sz val="12"/>
        <rFont val="Times New Roman"/>
        <family val="1"/>
      </rPr>
      <t>T</t>
    </r>
    <r>
      <rPr>
        <b/>
        <sz val="12"/>
        <rFont val="宋体"/>
        <family val="0"/>
      </rPr>
      <t>）</t>
    </r>
  </si>
  <si>
    <r>
      <t>B</t>
    </r>
    <r>
      <rPr>
        <b/>
        <vertAlign val="subscript"/>
        <sz val="12"/>
        <rFont val="Times New Roman"/>
        <family val="1"/>
      </rPr>
      <t>w</t>
    </r>
  </si>
  <si>
    <r>
      <t>初级线径（</t>
    </r>
    <r>
      <rPr>
        <b/>
        <sz val="12"/>
        <rFont val="Times New Roman"/>
        <family val="1"/>
      </rPr>
      <t>mm</t>
    </r>
    <r>
      <rPr>
        <b/>
        <sz val="12"/>
        <rFont val="宋体"/>
        <family val="0"/>
      </rPr>
      <t>）</t>
    </r>
  </si>
  <si>
    <t>Dp</t>
  </si>
  <si>
    <t>次级参数：</t>
  </si>
  <si>
    <r>
      <t>输出电压（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</si>
  <si>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r>
      <t>V</t>
    </r>
    <r>
      <rPr>
        <b/>
        <vertAlign val="subscript"/>
        <sz val="12"/>
        <rFont val="Times New Roman"/>
        <family val="1"/>
      </rPr>
      <t>out</t>
    </r>
  </si>
  <si>
    <r>
      <t>次级匝数（</t>
    </r>
    <r>
      <rPr>
        <b/>
        <sz val="12"/>
        <rFont val="Times New Roman"/>
        <family val="1"/>
      </rPr>
      <t>Turn</t>
    </r>
    <r>
      <rPr>
        <b/>
        <sz val="12"/>
        <rFont val="宋体"/>
        <family val="0"/>
      </rPr>
      <t>）</t>
    </r>
  </si>
  <si>
    <t>Ns</t>
  </si>
  <si>
    <r>
      <t>输出电流（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）</t>
    </r>
  </si>
  <si>
    <t>Iout</t>
  </si>
  <si>
    <r>
      <t>次级线径（</t>
    </r>
    <r>
      <rPr>
        <b/>
        <sz val="12"/>
        <rFont val="Times New Roman"/>
        <family val="1"/>
      </rPr>
      <t>mm</t>
    </r>
    <r>
      <rPr>
        <b/>
        <sz val="12"/>
        <rFont val="宋体"/>
        <family val="0"/>
      </rPr>
      <t>）</t>
    </r>
  </si>
  <si>
    <t>Ds</t>
  </si>
  <si>
    <r>
      <t>辅助电压（</t>
    </r>
    <r>
      <rPr>
        <b/>
        <sz val="12"/>
        <rFont val="Times New Roman"/>
        <family val="1"/>
      </rPr>
      <t>V</t>
    </r>
    <r>
      <rPr>
        <b/>
        <sz val="12"/>
        <rFont val="宋体"/>
        <family val="0"/>
      </rPr>
      <t>）</t>
    </r>
  </si>
  <si>
    <t>Va</t>
  </si>
  <si>
    <r>
      <t>辅助匝数（</t>
    </r>
    <r>
      <rPr>
        <b/>
        <sz val="12"/>
        <rFont val="Times New Roman"/>
        <family val="1"/>
      </rPr>
      <t>Turn</t>
    </r>
    <r>
      <rPr>
        <b/>
        <sz val="12"/>
        <rFont val="宋体"/>
        <family val="0"/>
      </rPr>
      <t>）</t>
    </r>
  </si>
  <si>
    <t>Na</t>
  </si>
  <si>
    <r>
      <t>辅助电流（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）</t>
    </r>
  </si>
  <si>
    <t>Ia</t>
  </si>
  <si>
    <r>
      <t>辅助线径（</t>
    </r>
    <r>
      <rPr>
        <b/>
        <sz val="12"/>
        <rFont val="Times New Roman"/>
        <family val="1"/>
      </rPr>
      <t>mm</t>
    </r>
    <r>
      <rPr>
        <b/>
        <sz val="12"/>
        <rFont val="宋体"/>
        <family val="0"/>
      </rPr>
      <t>）</t>
    </r>
  </si>
  <si>
    <t>Da</t>
  </si>
  <si>
    <r>
      <t>MOS</t>
    </r>
    <r>
      <rPr>
        <b/>
        <sz val="12"/>
        <color indexed="12"/>
        <rFont val="宋体"/>
        <family val="0"/>
      </rPr>
      <t>反峰电压（</t>
    </r>
    <r>
      <rPr>
        <b/>
        <sz val="12"/>
        <color indexed="12"/>
        <rFont val="Times New Roman"/>
        <family val="1"/>
      </rPr>
      <t>V</t>
    </r>
    <r>
      <rPr>
        <b/>
        <sz val="12"/>
        <color indexed="12"/>
        <rFont val="宋体"/>
        <family val="0"/>
      </rPr>
      <t>）</t>
    </r>
  </si>
  <si>
    <t>电感因数(nH/N2)</t>
  </si>
  <si>
    <t>AL</t>
  </si>
  <si>
    <t>磁路长度（mm）</t>
  </si>
  <si>
    <t>无气隙匝数电感</t>
  </si>
  <si>
    <t>L</t>
  </si>
  <si>
    <t>μ</t>
  </si>
  <si>
    <t>le</t>
  </si>
  <si>
    <t>有气隙相对导磁率</t>
  </si>
  <si>
    <t>μe</t>
  </si>
  <si>
    <t>磁芯磁压降(安匝)</t>
  </si>
  <si>
    <t>NI</t>
  </si>
  <si>
    <t>峰值电流*初级匝数</t>
  </si>
  <si>
    <t>气隙磁压降</t>
  </si>
  <si>
    <t>磁芯相对导磁率</t>
  </si>
  <si>
    <t>总磁压降</t>
  </si>
  <si>
    <t>Ip</t>
  </si>
  <si>
    <t>0.5L*Ip^2</t>
  </si>
  <si>
    <t>电感中储存的能量(mj)</t>
  </si>
  <si>
    <t>气隙中储存的能量(mj)</t>
  </si>
  <si>
    <t>磁芯中储存的能量(mj)</t>
  </si>
  <si>
    <t>0.5B*Hg*Ae*lg
0.5B*气隙磁压降*Ae</t>
  </si>
  <si>
    <t>0.5B*磁芯磁压降*Ae</t>
  </si>
  <si>
    <r>
      <t>连续模式输入</t>
    </r>
    <r>
      <rPr>
        <b/>
        <sz val="12"/>
        <rFont val="Times New Roman"/>
        <family val="1"/>
      </rPr>
      <t xml:space="preserve">            
</t>
    </r>
    <r>
      <rPr>
        <b/>
        <sz val="12"/>
        <rFont val="宋体"/>
        <family val="0"/>
      </rPr>
      <t>断续模式输入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</si>
</sst>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00"/>
    <numFmt numFmtId="180" formatCode="0.0000_);[Red]\(0.0000\)"/>
    <numFmt numFmtId="181" formatCode="0.00000_);[Red]\(0.00000\)"/>
    <numFmt numFmtId="182" formatCode="0.00000_ "/>
    <numFmt numFmtId="183" formatCode="0.000000_);[Red]\(0.000000\)"/>
    <numFmt numFmtId="184" formatCode="0.000000_ "/>
    <numFmt numFmtId="185" formatCode="0.000_);[Red]\(0.000\)"/>
  </numFmts>
  <fonts count="16">
    <font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6"/>
      <color indexed="10"/>
      <name val="隶书"/>
      <family val="3"/>
    </font>
    <font>
      <sz val="16"/>
      <name val="隶书"/>
      <family val="3"/>
    </font>
    <font>
      <b/>
      <sz val="16"/>
      <name val="黑体"/>
      <family val="0"/>
    </font>
    <font>
      <sz val="9"/>
      <name val="宋体"/>
      <family val="0"/>
    </font>
    <font>
      <b/>
      <sz val="12"/>
      <color indexed="12"/>
      <name val="宋体"/>
      <family val="0"/>
    </font>
    <font>
      <b/>
      <sz val="12"/>
      <color indexed="12"/>
      <name val="Times New Roman"/>
      <family val="1"/>
    </font>
    <font>
      <sz val="12"/>
      <color indexed="12"/>
      <name val="宋体"/>
      <family val="0"/>
    </font>
    <font>
      <sz val="11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0" fillId="2" borderId="1" xfId="0" applyNumberFormat="1" applyFill="1" applyBorder="1" applyAlignment="1">
      <alignment horizontal="center"/>
    </xf>
    <xf numFmtId="178" fontId="0" fillId="2" borderId="1" xfId="0" applyNumberFormat="1" applyFill="1" applyBorder="1" applyAlignment="1">
      <alignment/>
    </xf>
    <xf numFmtId="178" fontId="0" fillId="0" borderId="0" xfId="0" applyNumberFormat="1" applyAlignment="1">
      <alignment horizontal="left"/>
    </xf>
    <xf numFmtId="178" fontId="7" fillId="0" borderId="1" xfId="0" applyNumberFormat="1" applyFont="1" applyFill="1" applyBorder="1" applyAlignment="1">
      <alignment horizontal="left"/>
    </xf>
    <xf numFmtId="178" fontId="7" fillId="0" borderId="2" xfId="0" applyNumberFormat="1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/>
    </xf>
    <xf numFmtId="178" fontId="2" fillId="0" borderId="3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178" fontId="13" fillId="0" borderId="3" xfId="0" applyNumberFormat="1" applyFont="1" applyFill="1" applyBorder="1" applyAlignment="1">
      <alignment/>
    </xf>
    <xf numFmtId="178" fontId="14" fillId="0" borderId="1" xfId="0" applyNumberFormat="1" applyFont="1" applyFill="1" applyBorder="1" applyAlignment="1">
      <alignment horizontal="left"/>
    </xf>
    <xf numFmtId="178" fontId="12" fillId="0" borderId="3" xfId="0" applyNumberFormat="1" applyFont="1" applyFill="1" applyBorder="1" applyAlignment="1">
      <alignment/>
    </xf>
    <xf numFmtId="178" fontId="12" fillId="0" borderId="1" xfId="0" applyNumberFormat="1" applyFont="1" applyFill="1" applyBorder="1" applyAlignment="1">
      <alignment/>
    </xf>
    <xf numFmtId="178" fontId="2" fillId="0" borderId="4" xfId="0" applyNumberFormat="1" applyFont="1" applyFill="1" applyBorder="1" applyAlignment="1">
      <alignment/>
    </xf>
    <xf numFmtId="178" fontId="1" fillId="0" borderId="5" xfId="0" applyNumberFormat="1" applyFont="1" applyFill="1" applyBorder="1" applyAlignment="1">
      <alignment/>
    </xf>
    <xf numFmtId="178" fontId="7" fillId="0" borderId="5" xfId="0" applyNumberFormat="1" applyFont="1" applyFill="1" applyBorder="1" applyAlignment="1">
      <alignment horizontal="left"/>
    </xf>
    <xf numFmtId="178" fontId="0" fillId="2" borderId="5" xfId="0" applyNumberForma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7" fillId="0" borderId="6" xfId="0" applyNumberFormat="1" applyFont="1" applyFill="1" applyBorder="1" applyAlignment="1">
      <alignment horizontal="left"/>
    </xf>
    <xf numFmtId="178" fontId="2" fillId="3" borderId="7" xfId="0" applyNumberFormat="1" applyFont="1" applyFill="1" applyBorder="1" applyAlignment="1">
      <alignment/>
    </xf>
    <xf numFmtId="178" fontId="1" fillId="3" borderId="7" xfId="0" applyNumberFormat="1" applyFont="1" applyFill="1" applyBorder="1" applyAlignment="1">
      <alignment/>
    </xf>
    <xf numFmtId="178" fontId="7" fillId="3" borderId="7" xfId="0" applyNumberFormat="1" applyFont="1" applyFill="1" applyBorder="1" applyAlignment="1">
      <alignment horizontal="left"/>
    </xf>
    <xf numFmtId="178" fontId="0" fillId="3" borderId="7" xfId="0" applyNumberFormat="1" applyFill="1" applyBorder="1" applyAlignment="1">
      <alignment/>
    </xf>
    <xf numFmtId="178" fontId="14" fillId="3" borderId="7" xfId="0" applyNumberFormat="1" applyFont="1" applyFill="1" applyBorder="1" applyAlignment="1">
      <alignment/>
    </xf>
    <xf numFmtId="178" fontId="14" fillId="3" borderId="7" xfId="0" applyNumberFormat="1" applyFont="1" applyFill="1" applyBorder="1" applyAlignment="1">
      <alignment horizontal="left"/>
    </xf>
    <xf numFmtId="178" fontId="0" fillId="3" borderId="7" xfId="0" applyNumberFormat="1" applyFill="1" applyBorder="1" applyAlignment="1">
      <alignment horizontal="left"/>
    </xf>
    <xf numFmtId="178" fontId="0" fillId="3" borderId="7" xfId="0" applyNumberFormat="1" applyFill="1" applyBorder="1" applyAlignment="1">
      <alignment wrapText="1"/>
    </xf>
    <xf numFmtId="180" fontId="0" fillId="3" borderId="7" xfId="0" applyNumberFormat="1" applyFill="1" applyBorder="1" applyAlignment="1">
      <alignment horizontal="left"/>
    </xf>
    <xf numFmtId="180" fontId="7" fillId="3" borderId="7" xfId="0" applyNumberFormat="1" applyFont="1" applyFill="1" applyBorder="1" applyAlignment="1">
      <alignment horizontal="left"/>
    </xf>
    <xf numFmtId="183" fontId="7" fillId="0" borderId="2" xfId="0" applyNumberFormat="1" applyFont="1" applyFill="1" applyBorder="1" applyAlignment="1">
      <alignment horizontal="left"/>
    </xf>
    <xf numFmtId="181" fontId="7" fillId="3" borderId="7" xfId="0" applyNumberFormat="1" applyFont="1" applyFill="1" applyBorder="1" applyAlignment="1">
      <alignment horizontal="left"/>
    </xf>
    <xf numFmtId="185" fontId="7" fillId="0" borderId="1" xfId="0" applyNumberFormat="1" applyFont="1" applyFill="1" applyBorder="1" applyAlignment="1">
      <alignment horizontal="left"/>
    </xf>
    <xf numFmtId="178" fontId="8" fillId="4" borderId="8" xfId="0" applyNumberFormat="1" applyFont="1" applyFill="1" applyBorder="1" applyAlignment="1">
      <alignment horizontal="center"/>
    </xf>
    <xf numFmtId="178" fontId="8" fillId="4" borderId="9" xfId="0" applyNumberFormat="1" applyFont="1" applyFill="1" applyBorder="1" applyAlignment="1">
      <alignment horizontal="center"/>
    </xf>
    <xf numFmtId="178" fontId="8" fillId="4" borderId="10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left" vertical="center" wrapText="1"/>
    </xf>
    <xf numFmtId="178" fontId="2" fillId="0" borderId="11" xfId="0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/>
    </xf>
    <xf numFmtId="178" fontId="10" fillId="0" borderId="0" xfId="0" applyNumberFormat="1" applyFont="1" applyAlignment="1">
      <alignment horizontal="center"/>
    </xf>
    <xf numFmtId="178" fontId="9" fillId="5" borderId="3" xfId="0" applyNumberFormat="1" applyFont="1" applyFill="1" applyBorder="1" applyAlignment="1">
      <alignment horizontal="center"/>
    </xf>
    <xf numFmtId="178" fontId="9" fillId="5" borderId="1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一般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4">
      <selection activeCell="G12" sqref="G12"/>
    </sheetView>
  </sheetViews>
  <sheetFormatPr defaultColWidth="9.00390625" defaultRowHeight="14.25"/>
  <cols>
    <col min="1" max="1" width="20.75390625" style="0" customWidth="1"/>
    <col min="2" max="2" width="8.875" style="0" customWidth="1"/>
    <col min="3" max="3" width="10.50390625" style="0" customWidth="1"/>
    <col min="4" max="4" width="12.50390625" style="0" customWidth="1"/>
    <col min="5" max="5" width="20.125" style="0" customWidth="1"/>
    <col min="6" max="6" width="19.625" style="0" customWidth="1"/>
    <col min="7" max="7" width="10.375" style="0" customWidth="1"/>
  </cols>
  <sheetData>
    <row r="1" spans="1:7" ht="21" thickBot="1">
      <c r="A1" s="1"/>
      <c r="B1" s="41" t="s">
        <v>0</v>
      </c>
      <c r="C1" s="41"/>
      <c r="D1" s="41"/>
      <c r="E1" s="41"/>
      <c r="F1" s="41"/>
      <c r="G1" s="4"/>
    </row>
    <row r="2" spans="1:7" ht="21" thickBot="1">
      <c r="A2" s="33" t="s">
        <v>1</v>
      </c>
      <c r="B2" s="34"/>
      <c r="C2" s="34"/>
      <c r="D2" s="34"/>
      <c r="E2" s="34"/>
      <c r="F2" s="34"/>
      <c r="G2" s="35"/>
    </row>
    <row r="3" spans="1:7" ht="21" thickBot="1">
      <c r="A3" s="42" t="s">
        <v>2</v>
      </c>
      <c r="B3" s="43"/>
      <c r="C3" s="43"/>
      <c r="D3" s="2"/>
      <c r="E3" s="42" t="s">
        <v>3</v>
      </c>
      <c r="F3" s="43"/>
      <c r="G3" s="43"/>
    </row>
    <row r="4" spans="1:7" ht="18" thickBot="1">
      <c r="A4" s="36" t="s">
        <v>4</v>
      </c>
      <c r="B4" s="7" t="s">
        <v>5</v>
      </c>
      <c r="C4" s="5">
        <v>85</v>
      </c>
      <c r="D4" s="3"/>
      <c r="E4" s="37" t="s">
        <v>4</v>
      </c>
      <c r="F4" s="7" t="s">
        <v>6</v>
      </c>
      <c r="G4" s="6">
        <f>C4*1.012</f>
        <v>86.02</v>
      </c>
    </row>
    <row r="5" spans="1:7" ht="18" thickBot="1">
      <c r="A5" s="36"/>
      <c r="B5" s="7" t="s">
        <v>7</v>
      </c>
      <c r="C5" s="5">
        <v>264</v>
      </c>
      <c r="D5" s="3"/>
      <c r="E5" s="37"/>
      <c r="F5" s="7" t="s">
        <v>8</v>
      </c>
      <c r="G5" s="6">
        <f>C5*1.4</f>
        <v>369.59999999999997</v>
      </c>
    </row>
    <row r="6" spans="1:7" ht="18" thickBot="1">
      <c r="A6" s="8" t="s">
        <v>9</v>
      </c>
      <c r="B6" s="7" t="s">
        <v>10</v>
      </c>
      <c r="C6" s="5">
        <v>7.26</v>
      </c>
      <c r="D6" s="3"/>
      <c r="E6" s="9" t="s">
        <v>11</v>
      </c>
      <c r="F6" s="7" t="s">
        <v>12</v>
      </c>
      <c r="G6" s="6">
        <f>C9-G5</f>
        <v>77.00000000000006</v>
      </c>
    </row>
    <row r="7" spans="1:7" ht="16.5" thickBot="1">
      <c r="A7" s="8" t="s">
        <v>13</v>
      </c>
      <c r="B7" s="9" t="s">
        <v>14</v>
      </c>
      <c r="C7" s="5">
        <v>0.8777</v>
      </c>
      <c r="D7" s="3"/>
      <c r="E7" s="9" t="s">
        <v>15</v>
      </c>
      <c r="F7" s="7" t="s">
        <v>16</v>
      </c>
      <c r="G7" s="6">
        <f>1000/C8</f>
        <v>16.666666666666668</v>
      </c>
    </row>
    <row r="8" spans="1:7" ht="16.5" thickBot="1">
      <c r="A8" s="8" t="s">
        <v>17</v>
      </c>
      <c r="B8" s="7" t="s">
        <v>18</v>
      </c>
      <c r="C8" s="5">
        <v>60</v>
      </c>
      <c r="D8" s="3"/>
      <c r="E8" s="9" t="s">
        <v>19</v>
      </c>
      <c r="F8" s="7" t="s">
        <v>20</v>
      </c>
      <c r="G8" s="6">
        <f>G7*G9</f>
        <v>7.872244714349982</v>
      </c>
    </row>
    <row r="9" spans="1:7" ht="18" thickBot="1">
      <c r="A9" s="10" t="s">
        <v>60</v>
      </c>
      <c r="B9" s="7" t="s">
        <v>21</v>
      </c>
      <c r="C9" s="11">
        <v>446.6</v>
      </c>
      <c r="D9" s="3"/>
      <c r="E9" s="9" t="s">
        <v>22</v>
      </c>
      <c r="F9" s="7" t="s">
        <v>23</v>
      </c>
      <c r="G9" s="6">
        <f>G6/(G4+G6)</f>
        <v>0.4723346828609989</v>
      </c>
    </row>
    <row r="10" spans="1:7" ht="16.5" thickBot="1">
      <c r="A10" s="38" t="s">
        <v>83</v>
      </c>
      <c r="B10" s="9">
        <v>0.5</v>
      </c>
      <c r="C10" s="40">
        <v>1</v>
      </c>
      <c r="D10" s="2"/>
      <c r="E10" s="9" t="s">
        <v>24</v>
      </c>
      <c r="F10" s="7" t="s">
        <v>25</v>
      </c>
      <c r="G10" s="6">
        <f>C6/C7</f>
        <v>8.271619004215562</v>
      </c>
    </row>
    <row r="11" spans="1:7" ht="16.5" thickBot="1">
      <c r="A11" s="39"/>
      <c r="B11" s="9">
        <v>1</v>
      </c>
      <c r="C11" s="40"/>
      <c r="D11" s="2"/>
      <c r="E11" s="9" t="s">
        <v>26</v>
      </c>
      <c r="F11" s="7" t="s">
        <v>76</v>
      </c>
      <c r="G11" s="6">
        <f>G10/(G9*G4)*2</f>
        <v>0.4071657542846334</v>
      </c>
    </row>
    <row r="12" spans="1:7" ht="16.5" thickBot="1">
      <c r="A12" s="1"/>
      <c r="B12" s="9"/>
      <c r="C12" s="5"/>
      <c r="D12" s="3"/>
      <c r="E12" s="9" t="s">
        <v>27</v>
      </c>
      <c r="F12" s="7" t="s">
        <v>28</v>
      </c>
      <c r="G12" s="6">
        <f>G9*G4/(C8*(G11*C10))</f>
        <v>1.663132233500665</v>
      </c>
    </row>
    <row r="13" spans="1:7" ht="16.5" thickBot="1">
      <c r="A13" s="8" t="s">
        <v>29</v>
      </c>
      <c r="B13" s="9"/>
      <c r="C13" s="5" t="s">
        <v>30</v>
      </c>
      <c r="D13" s="3"/>
      <c r="E13" s="9" t="s">
        <v>31</v>
      </c>
      <c r="F13" s="7" t="s">
        <v>32</v>
      </c>
      <c r="G13" s="6">
        <f>G6/C18</f>
        <v>14.00000000000001</v>
      </c>
    </row>
    <row r="14" spans="1:7" ht="16.5" thickBot="1">
      <c r="A14" s="12" t="s">
        <v>61</v>
      </c>
      <c r="B14" s="13" t="s">
        <v>62</v>
      </c>
      <c r="C14" s="5">
        <v>1130</v>
      </c>
      <c r="D14" s="3"/>
      <c r="E14" s="9" t="s">
        <v>33</v>
      </c>
      <c r="F14" s="7" t="s">
        <v>34</v>
      </c>
      <c r="G14" s="30">
        <f>4*3.14159/10000000*C15*(G15*G15/G12-1000000/C14)/10</f>
        <v>0.01435884057590459</v>
      </c>
    </row>
    <row r="15" spans="1:7" ht="19.5" thickBot="1">
      <c r="A15" s="8" t="s">
        <v>35</v>
      </c>
      <c r="B15" s="7" t="s">
        <v>36</v>
      </c>
      <c r="C15" s="5">
        <v>17.1</v>
      </c>
      <c r="D15" s="3"/>
      <c r="E15" s="9" t="s">
        <v>37</v>
      </c>
      <c r="F15" s="7" t="s">
        <v>38</v>
      </c>
      <c r="G15" s="6">
        <f>G12*(G11*C10)/(C16*C15)*1000</f>
        <v>112.18304099007429</v>
      </c>
    </row>
    <row r="16" spans="1:7" ht="18" thickBot="1">
      <c r="A16" s="8" t="s">
        <v>39</v>
      </c>
      <c r="B16" s="7" t="s">
        <v>40</v>
      </c>
      <c r="C16" s="32">
        <v>0.353</v>
      </c>
      <c r="D16" s="3"/>
      <c r="E16" s="9" t="s">
        <v>41</v>
      </c>
      <c r="F16" s="7" t="s">
        <v>42</v>
      </c>
      <c r="G16" s="6">
        <f>SQRT(4*(G11/3.62)/3.1416)</f>
        <v>0.3784302877515523</v>
      </c>
    </row>
    <row r="17" spans="1:7" ht="21" thickBot="1">
      <c r="A17" s="33" t="s">
        <v>43</v>
      </c>
      <c r="B17" s="34"/>
      <c r="C17" s="34"/>
      <c r="D17" s="34"/>
      <c r="E17" s="34"/>
      <c r="F17" s="34"/>
      <c r="G17" s="35"/>
    </row>
    <row r="18" spans="1:7" ht="18" thickBot="1">
      <c r="A18" s="8" t="s">
        <v>44</v>
      </c>
      <c r="B18" s="7" t="s">
        <v>45</v>
      </c>
      <c r="C18" s="5">
        <v>5.5</v>
      </c>
      <c r="D18" s="3"/>
      <c r="E18" s="9" t="s">
        <v>46</v>
      </c>
      <c r="F18" s="7" t="s">
        <v>47</v>
      </c>
      <c r="G18" s="6">
        <f>G15/G13</f>
        <v>8.013074356433872</v>
      </c>
    </row>
    <row r="19" spans="1:7" ht="16.5" thickBot="1">
      <c r="A19" s="8" t="s">
        <v>48</v>
      </c>
      <c r="B19" s="7" t="s">
        <v>49</v>
      </c>
      <c r="C19" s="5">
        <v>0.75</v>
      </c>
      <c r="D19" s="3"/>
      <c r="E19" s="9" t="s">
        <v>50</v>
      </c>
      <c r="F19" s="7" t="s">
        <v>51</v>
      </c>
      <c r="G19" s="6">
        <f>SQRT(4*(C19/3.62)/3.1416)</f>
        <v>0.5136069572114838</v>
      </c>
    </row>
    <row r="20" spans="1:7" ht="16.5" thickBot="1">
      <c r="A20" s="8" t="s">
        <v>52</v>
      </c>
      <c r="B20" s="7" t="s">
        <v>53</v>
      </c>
      <c r="C20" s="5">
        <v>0</v>
      </c>
      <c r="D20" s="3"/>
      <c r="E20" s="9" t="s">
        <v>54</v>
      </c>
      <c r="F20" s="7" t="s">
        <v>55</v>
      </c>
      <c r="G20" s="6">
        <f>G18*C20/C18</f>
        <v>0</v>
      </c>
    </row>
    <row r="21" spans="1:7" ht="15.75">
      <c r="A21" s="14" t="s">
        <v>56</v>
      </c>
      <c r="B21" s="15" t="s">
        <v>57</v>
      </c>
      <c r="C21" s="16">
        <v>0</v>
      </c>
      <c r="D21" s="17"/>
      <c r="E21" s="18" t="s">
        <v>58</v>
      </c>
      <c r="F21" s="15" t="s">
        <v>59</v>
      </c>
      <c r="G21" s="19">
        <f>SQRT(4*(C21/3.62)/3.1416)</f>
        <v>0</v>
      </c>
    </row>
    <row r="22" spans="1:7" ht="15.75">
      <c r="A22" s="20" t="s">
        <v>63</v>
      </c>
      <c r="B22" s="21" t="s">
        <v>67</v>
      </c>
      <c r="C22" s="22">
        <v>30.2</v>
      </c>
      <c r="D22" s="23"/>
      <c r="E22" s="20" t="s">
        <v>64</v>
      </c>
      <c r="F22" s="21" t="s">
        <v>65</v>
      </c>
      <c r="G22" s="22">
        <f>C14*G15*G15/1000000</f>
        <v>14.221089194932178</v>
      </c>
    </row>
    <row r="23" spans="1:7" ht="15.75">
      <c r="A23" s="20" t="s">
        <v>70</v>
      </c>
      <c r="B23" s="21" t="s">
        <v>71</v>
      </c>
      <c r="C23" s="22">
        <f>C16*C22/(G23*(4*3.14159/10000000))/1000</f>
        <v>5.341858407079646</v>
      </c>
      <c r="D23" s="23"/>
      <c r="E23" s="20" t="s">
        <v>74</v>
      </c>
      <c r="F23" s="21" t="s">
        <v>66</v>
      </c>
      <c r="G23" s="22">
        <f>C14*C22/(C15*4*3.14159/10000000)/1000000</f>
        <v>1588.1070688885907</v>
      </c>
    </row>
    <row r="24" spans="1:7" ht="15.75">
      <c r="A24" s="20" t="s">
        <v>73</v>
      </c>
      <c r="B24" s="21"/>
      <c r="C24" s="22">
        <f>C16*G14/(4*3.14159/10000000)/100</f>
        <v>40.33523409558791</v>
      </c>
      <c r="D24" s="23"/>
      <c r="E24" s="20" t="s">
        <v>68</v>
      </c>
      <c r="F24" s="21" t="s">
        <v>69</v>
      </c>
      <c r="G24" s="22">
        <f>G12*C22/(G15*G15*C15*4*3.14159/10000000)</f>
        <v>185.7264250518944</v>
      </c>
    </row>
    <row r="25" spans="1:7" ht="14.25">
      <c r="A25" s="20" t="s">
        <v>72</v>
      </c>
      <c r="B25" s="24"/>
      <c r="C25" s="25">
        <f>G11*G15</f>
        <v>45.67709250266755</v>
      </c>
      <c r="D25" s="23"/>
      <c r="E25" s="20" t="s">
        <v>78</v>
      </c>
      <c r="F25" s="23" t="s">
        <v>77</v>
      </c>
      <c r="G25" s="28">
        <f>0.5*G12*G11*G11</f>
        <v>0.13786031673692606</v>
      </c>
    </row>
    <row r="26" spans="1:7" ht="29.25" customHeight="1">
      <c r="A26" s="20" t="s">
        <v>75</v>
      </c>
      <c r="B26" s="23"/>
      <c r="C26" s="26">
        <f>C16*C22/(G24*(4*3.14159/10000000))/1000</f>
        <v>45.67709250266755</v>
      </c>
      <c r="D26" s="23"/>
      <c r="E26" s="20" t="s">
        <v>79</v>
      </c>
      <c r="F26" s="27" t="s">
        <v>81</v>
      </c>
      <c r="G26" s="29">
        <f>0.5*C16*C24*C15/1000</f>
        <v>0.12173778678559864</v>
      </c>
    </row>
    <row r="27" spans="1:7" ht="14.25">
      <c r="A27" s="20"/>
      <c r="B27" s="23"/>
      <c r="C27" s="28"/>
      <c r="D27" s="23"/>
      <c r="E27" s="20" t="s">
        <v>80</v>
      </c>
      <c r="F27" s="23" t="s">
        <v>82</v>
      </c>
      <c r="G27" s="31">
        <f>0.5*C16*C23*C15/1000</f>
        <v>0.016122529951327434</v>
      </c>
    </row>
  </sheetData>
  <mergeCells count="9">
    <mergeCell ref="B1:F1"/>
    <mergeCell ref="A2:G2"/>
    <mergeCell ref="A3:C3"/>
    <mergeCell ref="E3:G3"/>
    <mergeCell ref="A17:G17"/>
    <mergeCell ref="A4:A5"/>
    <mergeCell ref="E4:E5"/>
    <mergeCell ref="A10:A11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lmz</cp:lastModifiedBy>
  <cp:lastPrinted>1899-12-30T00:00:00Z</cp:lastPrinted>
  <dcterms:created xsi:type="dcterms:W3CDTF">1996-12-17T01:32:42Z</dcterms:created>
  <dcterms:modified xsi:type="dcterms:W3CDTF">2012-01-04T15:52:36Z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