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4620" activeTab="0"/>
  </bookViews>
  <sheets>
    <sheet name="反激式系统" sheetId="1" r:id="rId1"/>
    <sheet name="实际参数" sheetId="2" r:id="rId2"/>
  </sheets>
  <definedNames/>
  <calcPr fullCalcOnLoad="1"/>
</workbook>
</file>

<file path=xl/sharedStrings.xml><?xml version="1.0" encoding="utf-8"?>
<sst xmlns="http://schemas.openxmlformats.org/spreadsheetml/2006/main" count="131" uniqueCount="96">
  <si>
    <t>最小交流输入电压</t>
  </si>
  <si>
    <t>V</t>
  </si>
  <si>
    <t>最大交流输入电压</t>
  </si>
  <si>
    <t>A</t>
  </si>
  <si>
    <t>KHz</t>
  </si>
  <si>
    <t>Ω</t>
  </si>
  <si>
    <t>电感量</t>
  </si>
  <si>
    <t>mm</t>
  </si>
  <si>
    <t>反相峰值电压</t>
  </si>
  <si>
    <t>mH</t>
  </si>
  <si>
    <t xml:space="preserve">输出LED总电流 </t>
  </si>
  <si>
    <t>功率MOSFET （Q1）</t>
  </si>
  <si>
    <r>
      <t>mm</t>
    </r>
    <r>
      <rPr>
        <vertAlign val="superscript"/>
        <sz val="14"/>
        <color indexed="8"/>
        <rFont val="宋体"/>
        <family val="0"/>
      </rPr>
      <t>2</t>
    </r>
  </si>
  <si>
    <t>Ts</t>
  </si>
  <si>
    <t>计算结果</t>
  </si>
  <si>
    <t>铁芯有效面积(Ae)</t>
  </si>
  <si>
    <t>选取值</t>
  </si>
  <si>
    <t>设 计 规 格</t>
  </si>
  <si>
    <t>元 件 参 数 设 计</t>
  </si>
  <si>
    <t>最小工作频率</t>
  </si>
  <si>
    <t>正向平均电流</t>
  </si>
  <si>
    <t xml:space="preserve">典 型 应 用 电 路 图 </t>
  </si>
  <si>
    <r>
      <rPr>
        <b/>
        <sz val="16"/>
        <color indexed="10"/>
        <rFont val="宋体"/>
        <family val="0"/>
      </rPr>
      <t>红色字体部分由使用者根据实际情况填入</t>
    </r>
    <r>
      <rPr>
        <b/>
        <sz val="16"/>
        <color indexed="30"/>
        <rFont val="宋体"/>
        <family val="0"/>
      </rPr>
      <t xml:space="preserve">                                                                     蓝色字体部分为根据填入的参数计算的结果</t>
    </r>
  </si>
  <si>
    <t>原副边砸比</t>
  </si>
  <si>
    <t>参数</t>
  </si>
  <si>
    <t>铁芯规格（PC47)</t>
  </si>
  <si>
    <t>初级绕组圈数</t>
  </si>
  <si>
    <t>初级绕组线径</t>
  </si>
  <si>
    <t>次级绕组圈数</t>
  </si>
  <si>
    <t>次级绕组线径</t>
  </si>
  <si>
    <t>Ts</t>
  </si>
  <si>
    <t>mm</t>
  </si>
  <si>
    <t xml:space="preserve">mH </t>
  </si>
  <si>
    <t>Ts</t>
  </si>
  <si>
    <t>mm</t>
  </si>
  <si>
    <t>辅助线圈圈数</t>
  </si>
  <si>
    <t>输出LED电压</t>
  </si>
  <si>
    <t>功率开关VDS_MAX</t>
  </si>
  <si>
    <t>V</t>
  </si>
  <si>
    <t>`</t>
  </si>
  <si>
    <t>原边峰值电流</t>
  </si>
  <si>
    <t>阻值计算结果</t>
  </si>
  <si>
    <t>阻值</t>
  </si>
  <si>
    <t>KΩ</t>
  </si>
  <si>
    <t>频率（KHz）</t>
  </si>
  <si>
    <t>MΩ</t>
  </si>
  <si>
    <t>电流检测电阻（RS）</t>
  </si>
  <si>
    <t>输出整流二级管 （D1）</t>
  </si>
  <si>
    <t>LN检测上电阻（R1）</t>
  </si>
  <si>
    <t>LN检测下电阻（R2）</t>
  </si>
  <si>
    <t>电感选定后，对应的系统工作频率</t>
  </si>
  <si>
    <t>输出电压变化时，对应的系统工作频率</t>
  </si>
  <si>
    <t>最小输出电压</t>
  </si>
  <si>
    <t>最大输出电压</t>
  </si>
  <si>
    <t>输入电压（V)</t>
  </si>
  <si>
    <t>输入电压（V）</t>
  </si>
  <si>
    <t>占空比</t>
  </si>
  <si>
    <t>EE-16</t>
  </si>
  <si>
    <t>磁通密度</t>
  </si>
  <si>
    <t>原副边砸比</t>
  </si>
  <si>
    <t>变压器参数设计</t>
  </si>
  <si>
    <t>变压器设计验证</t>
  </si>
  <si>
    <t>T</t>
  </si>
  <si>
    <r>
      <t>A/mm</t>
    </r>
    <r>
      <rPr>
        <vertAlign val="superscript"/>
        <sz val="14"/>
        <color indexed="8"/>
        <rFont val="宋体"/>
        <family val="0"/>
      </rPr>
      <t>2</t>
    </r>
  </si>
  <si>
    <t>原边绕组电流密度</t>
  </si>
  <si>
    <t>副边绕组电流密度</t>
  </si>
  <si>
    <t>反向峰值电压</t>
  </si>
  <si>
    <t>V</t>
  </si>
  <si>
    <r>
      <t xml:space="preserve">BP3309系统设计程序                                               </t>
    </r>
    <r>
      <rPr>
        <b/>
        <sz val="20"/>
        <color indexed="8"/>
        <rFont val="宋体"/>
        <family val="0"/>
      </rPr>
      <t>—应用于反激式LED电源</t>
    </r>
    <r>
      <rPr>
        <b/>
        <sz val="28"/>
        <color indexed="8"/>
        <rFont val="宋体"/>
        <family val="0"/>
      </rPr>
      <t xml:space="preserve"> </t>
    </r>
  </si>
  <si>
    <t>元件参数</t>
  </si>
  <si>
    <r>
      <t>E</t>
    </r>
    <r>
      <rPr>
        <sz val="11"/>
        <color indexed="8"/>
        <rFont val="宋体"/>
        <family val="0"/>
      </rPr>
      <t>E</t>
    </r>
    <r>
      <rPr>
        <sz val="11"/>
        <color indexed="8"/>
        <rFont val="宋体"/>
        <family val="0"/>
      </rPr>
      <t>10</t>
    </r>
  </si>
  <si>
    <t>70KHZ</t>
  </si>
  <si>
    <t>OUT:40V;120mA</t>
  </si>
  <si>
    <t>Np</t>
  </si>
  <si>
    <t>124Ts</t>
  </si>
  <si>
    <t>0.15mm</t>
  </si>
  <si>
    <t>Ns</t>
  </si>
  <si>
    <t>65Ts</t>
  </si>
  <si>
    <t>0.18mm</t>
  </si>
  <si>
    <t>Na</t>
  </si>
  <si>
    <t>19Ts</t>
  </si>
  <si>
    <t>L</t>
  </si>
  <si>
    <t>mH</t>
  </si>
  <si>
    <t>Rcs</t>
  </si>
  <si>
    <t>2R</t>
  </si>
  <si>
    <t>Rfb</t>
  </si>
  <si>
    <t>270K//5.1K</t>
  </si>
  <si>
    <t>测试数据</t>
  </si>
  <si>
    <t>线性调整率</t>
  </si>
  <si>
    <t>Vin</t>
  </si>
  <si>
    <t>Iin</t>
  </si>
  <si>
    <t>Pin</t>
  </si>
  <si>
    <t>PF</t>
  </si>
  <si>
    <t>Vout</t>
  </si>
  <si>
    <t>Iout</t>
  </si>
  <si>
    <t>负载调整率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</si>
</sst>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 "/>
  </numFmts>
  <fonts count="35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vertAlign val="superscript"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10"/>
      <name val="宋体"/>
      <family val="0"/>
    </font>
    <font>
      <sz val="14"/>
      <color indexed="3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6"/>
      <color indexed="30"/>
      <name val="宋体"/>
      <family val="0"/>
    </font>
    <font>
      <sz val="12"/>
      <color indexed="8"/>
      <name val="宋体"/>
      <family val="0"/>
    </font>
    <font>
      <sz val="14"/>
      <color indexed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3" fillId="16" borderId="0" xfId="0" applyFont="1" applyFill="1" applyAlignment="1" applyProtection="1">
      <alignment horizontal="center" vertical="center"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8" fillId="16" borderId="0" xfId="0" applyFont="1" applyFill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176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178" fontId="9" fillId="4" borderId="11" xfId="0" applyNumberFormat="1" applyFont="1" applyFill="1" applyBorder="1" applyAlignment="1" applyProtection="1">
      <alignment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vertical="center"/>
      <protection hidden="1"/>
    </xf>
    <xf numFmtId="178" fontId="9" fillId="4" borderId="11" xfId="0" applyNumberFormat="1" applyFont="1" applyFill="1" applyBorder="1" applyAlignment="1" applyProtection="1">
      <alignment horizontal="center" vertical="center"/>
      <protection hidden="1"/>
    </xf>
    <xf numFmtId="178" fontId="10" fillId="4" borderId="11" xfId="0" applyNumberFormat="1" applyFont="1" applyFill="1" applyBorder="1" applyAlignment="1" applyProtection="1">
      <alignment horizontal="center" vertical="center"/>
      <protection locked="0"/>
    </xf>
    <xf numFmtId="179" fontId="9" fillId="4" borderId="11" xfId="0" applyNumberFormat="1" applyFont="1" applyFill="1" applyBorder="1" applyAlignment="1" applyProtection="1">
      <alignment horizontal="center" vertical="center"/>
      <protection hidden="1"/>
    </xf>
    <xf numFmtId="179" fontId="10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176" fontId="9" fillId="4" borderId="11" xfId="0" applyNumberFormat="1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176" fontId="9" fillId="4" borderId="16" xfId="0" applyNumberFormat="1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0" fillId="4" borderId="11" xfId="0" applyFont="1" applyFill="1" applyBorder="1" applyAlignment="1" applyProtection="1">
      <alignment vertical="center"/>
      <protection hidden="1"/>
    </xf>
    <xf numFmtId="0" fontId="14" fillId="4" borderId="11" xfId="0" applyFont="1" applyFill="1" applyBorder="1" applyAlignment="1" applyProtection="1">
      <alignment vertical="center"/>
      <protection hidden="1"/>
    </xf>
    <xf numFmtId="0" fontId="3" fillId="4" borderId="18" xfId="0" applyFont="1" applyFill="1" applyBorder="1" applyAlignment="1" applyProtection="1">
      <alignment vertical="center"/>
      <protection hidden="1"/>
    </xf>
    <xf numFmtId="0" fontId="3" fillId="4" borderId="11" xfId="0" applyFont="1" applyFill="1" applyBorder="1" applyAlignment="1" applyProtection="1">
      <alignment vertical="center"/>
      <protection hidden="1"/>
    </xf>
    <xf numFmtId="176" fontId="3" fillId="4" borderId="19" xfId="0" applyNumberFormat="1" applyFont="1" applyFill="1" applyBorder="1" applyAlignment="1" applyProtection="1">
      <alignment horizontal="center" vertical="center"/>
      <protection hidden="1"/>
    </xf>
    <xf numFmtId="176" fontId="3" fillId="4" borderId="11" xfId="0" applyNumberFormat="1" applyFont="1" applyFill="1" applyBorder="1" applyAlignment="1" applyProtection="1">
      <alignment horizontal="center" vertical="center"/>
      <protection hidden="1"/>
    </xf>
    <xf numFmtId="176" fontId="3" fillId="4" borderId="15" xfId="0" applyNumberFormat="1" applyFont="1" applyFill="1" applyBorder="1" applyAlignment="1" applyProtection="1">
      <alignment horizontal="center" vertical="center"/>
      <protection hidden="1"/>
    </xf>
    <xf numFmtId="176" fontId="9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left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176" fontId="3" fillId="4" borderId="16" xfId="0" applyNumberFormat="1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179" fontId="3" fillId="4" borderId="10" xfId="0" applyNumberFormat="1" applyFont="1" applyFill="1" applyBorder="1" applyAlignment="1" applyProtection="1">
      <alignment horizontal="center" vertical="center"/>
      <protection hidden="1"/>
    </xf>
    <xf numFmtId="179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8" fillId="16" borderId="0" xfId="0" applyFont="1" applyFill="1" applyBorder="1" applyAlignment="1" applyProtection="1">
      <alignment horizontal="center" vertical="center"/>
      <protection hidden="1"/>
    </xf>
    <xf numFmtId="179" fontId="3" fillId="4" borderId="26" xfId="0" applyNumberFormat="1" applyFont="1" applyFill="1" applyBorder="1" applyAlignment="1" applyProtection="1">
      <alignment horizontal="center" vertical="center"/>
      <protection hidden="1"/>
    </xf>
    <xf numFmtId="179" fontId="3" fillId="4" borderId="27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176" fontId="9" fillId="4" borderId="27" xfId="0" applyNumberFormat="1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179" fontId="8" fillId="4" borderId="27" xfId="0" applyNumberFormat="1" applyFont="1" applyFill="1" applyBorder="1" applyAlignment="1" applyProtection="1">
      <alignment horizontal="center" vertical="center"/>
      <protection locked="0"/>
    </xf>
    <xf numFmtId="179" fontId="8" fillId="4" borderId="11" xfId="0" applyNumberFormat="1" applyFont="1" applyFill="1" applyBorder="1" applyAlignment="1" applyProtection="1">
      <alignment horizontal="center" vertical="center"/>
      <protection locked="0"/>
    </xf>
    <xf numFmtId="176" fontId="9" fillId="4" borderId="19" xfId="0" applyNumberFormat="1" applyFont="1" applyFill="1" applyBorder="1" applyAlignment="1" applyProtection="1">
      <alignment horizontal="center" vertical="center"/>
      <protection hidden="1"/>
    </xf>
    <xf numFmtId="179" fontId="3" fillId="4" borderId="29" xfId="0" applyNumberFormat="1" applyFont="1" applyFill="1" applyBorder="1" applyAlignment="1" applyProtection="1">
      <alignment horizontal="center" vertical="center"/>
      <protection hidden="1"/>
    </xf>
    <xf numFmtId="179" fontId="3" fillId="4" borderId="13" xfId="0" applyNumberFormat="1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177" fontId="9" fillId="4" borderId="11" xfId="0" applyNumberFormat="1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left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178" fontId="9" fillId="4" borderId="11" xfId="0" applyNumberFormat="1" applyFont="1" applyFill="1" applyBorder="1" applyAlignment="1" applyProtection="1">
      <alignment horizontal="center" vertical="top" wrapText="1"/>
      <protection hidden="1"/>
    </xf>
    <xf numFmtId="176" fontId="9" fillId="4" borderId="1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15" fillId="16" borderId="0" xfId="0" applyFont="1" applyFill="1" applyAlignment="1" applyProtection="1">
      <alignment horizontal="center" vertical="center"/>
      <protection hidden="1"/>
    </xf>
    <xf numFmtId="178" fontId="15" fillId="16" borderId="0" xfId="0" applyNumberFormat="1" applyFont="1" applyFill="1" applyAlignment="1" applyProtection="1">
      <alignment horizontal="center" vertical="center"/>
      <protection hidden="1"/>
    </xf>
    <xf numFmtId="0" fontId="15" fillId="16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3" borderId="30" xfId="0" applyFont="1" applyFill="1" applyBorder="1" applyAlignment="1" applyProtection="1">
      <alignment horizontal="left" vertical="center" wrapText="1"/>
      <protection hidden="1"/>
    </xf>
    <xf numFmtId="0" fontId="11" fillId="3" borderId="31" xfId="0" applyFont="1" applyFill="1" applyBorder="1" applyAlignment="1" applyProtection="1">
      <alignment horizontal="left" vertical="center" wrapText="1"/>
      <protection hidden="1"/>
    </xf>
    <xf numFmtId="0" fontId="11" fillId="3" borderId="32" xfId="0" applyFont="1" applyFill="1" applyBorder="1" applyAlignment="1" applyProtection="1">
      <alignment horizontal="left" vertical="center" wrapText="1"/>
      <protection hidden="1"/>
    </xf>
    <xf numFmtId="176" fontId="2" fillId="4" borderId="11" xfId="0" applyNumberFormat="1" applyFont="1" applyFill="1" applyBorder="1" applyAlignment="1" applyProtection="1">
      <alignment horizontal="center" vertical="center"/>
      <protection hidden="1"/>
    </xf>
    <xf numFmtId="176" fontId="2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37" xfId="0" applyFont="1" applyFill="1" applyBorder="1" applyAlignment="1" applyProtection="1">
      <alignment horizontal="center" vertical="center"/>
      <protection hidden="1"/>
    </xf>
    <xf numFmtId="0" fontId="2" fillId="4" borderId="38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7" fillId="13" borderId="39" xfId="0" applyFont="1" applyFill="1" applyBorder="1" applyAlignment="1" applyProtection="1">
      <alignment horizontal="center" vertical="center" wrapText="1"/>
      <protection hidden="1"/>
    </xf>
    <xf numFmtId="0" fontId="7" fillId="13" borderId="40" xfId="0" applyFont="1" applyFill="1" applyBorder="1" applyAlignment="1" applyProtection="1">
      <alignment horizontal="center" vertical="center" wrapText="1"/>
      <protection hidden="1"/>
    </xf>
    <xf numFmtId="0" fontId="7" fillId="13" borderId="41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5" borderId="27" xfId="0" applyFont="1" applyFill="1" applyBorder="1" applyAlignment="1" applyProtection="1">
      <alignment horizontal="center" vertical="center"/>
      <protection hidden="1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 applyProtection="1">
      <alignment horizontal="center" vertical="center"/>
      <protection hidden="1"/>
    </xf>
    <xf numFmtId="179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系统工作频率随输入电压的变化曲线</a:t>
            </a:r>
          </a:p>
        </c:rich>
      </c:tx>
      <c:layout>
        <c:manualLayout>
          <c:xMode val="factor"/>
          <c:yMode val="factor"/>
          <c:x val="0.009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375"/>
          <c:w val="0.91025"/>
          <c:h val="0.83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'反激式系统'!$A$26:$A$36</c:f>
              <c:numCache>
                <c:ptCount val="11"/>
                <c:pt idx="0">
                  <c:v>85</c:v>
                </c:pt>
                <c:pt idx="1">
                  <c:v>103</c:v>
                </c:pt>
                <c:pt idx="2">
                  <c:v>121</c:v>
                </c:pt>
                <c:pt idx="3">
                  <c:v>139</c:v>
                </c:pt>
                <c:pt idx="4">
                  <c:v>157</c:v>
                </c:pt>
                <c:pt idx="5">
                  <c:v>175</c:v>
                </c:pt>
                <c:pt idx="6">
                  <c:v>193</c:v>
                </c:pt>
                <c:pt idx="7">
                  <c:v>211</c:v>
                </c:pt>
                <c:pt idx="8">
                  <c:v>229</c:v>
                </c:pt>
                <c:pt idx="9">
                  <c:v>247</c:v>
                </c:pt>
                <c:pt idx="10">
                  <c:v>265</c:v>
                </c:pt>
              </c:numCache>
            </c:numRef>
          </c:xVal>
          <c:yVal>
            <c:numRef>
              <c:f>'反激式系统'!$B$26:$B$36</c:f>
              <c:numCache>
                <c:ptCount val="11"/>
                <c:pt idx="0">
                  <c:v>42.99889370144809</c:v>
                </c:pt>
                <c:pt idx="1">
                  <c:v>50.215029218523895</c:v>
                </c:pt>
                <c:pt idx="2">
                  <c:v>56.428390811969564</c:v>
                </c:pt>
                <c:pt idx="3">
                  <c:v>61.80779328127026</c:v>
                </c:pt>
                <c:pt idx="4">
                  <c:v>66.4965292780007</c:v>
                </c:pt>
                <c:pt idx="5">
                  <c:v>70.61166154319821</c:v>
                </c:pt>
                <c:pt idx="6">
                  <c:v>74.24766504956457</c:v>
                </c:pt>
                <c:pt idx="7">
                  <c:v>77.4806827491819</c:v>
                </c:pt>
                <c:pt idx="8">
                  <c:v>80.37230249680391</c:v>
                </c:pt>
                <c:pt idx="9">
                  <c:v>82.97263145066991</c:v>
                </c:pt>
                <c:pt idx="10">
                  <c:v>85.32271564743903</c:v>
                </c:pt>
              </c:numCache>
            </c:numRef>
          </c:yVal>
          <c:smooth val="1"/>
        </c:ser>
        <c:axId val="30950140"/>
        <c:axId val="13516205"/>
      </c:scatterChart>
      <c:valAx>
        <c:axId val="30950140"/>
        <c:scaling>
          <c:orientation val="minMax"/>
          <c:max val="265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AC Input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（Ｖ）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16205"/>
        <c:crosses val="autoZero"/>
        <c:crossBetween val="midCat"/>
        <c:dispUnits/>
        <c:majorUnit val="20"/>
      </c:valAx>
      <c:valAx>
        <c:axId val="13516205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系统开关频率（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KHz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95014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最小输出电压时，系统工作频率随输入电压的变化曲线</a:t>
            </a:r>
          </a:p>
        </c:rich>
      </c:tx>
      <c:layout>
        <c:manualLayout>
          <c:xMode val="factor"/>
          <c:yMode val="factor"/>
          <c:x val="0.094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375"/>
          <c:w val="0.91025"/>
          <c:h val="0.83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'反激式系统'!$A$40:$A$50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'反激式系统'!$B$40:$B$50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8026738"/>
        <c:axId val="11184091"/>
      </c:scatterChart>
      <c:valAx>
        <c:axId val="8026738"/>
        <c:scaling>
          <c:orientation val="minMax"/>
          <c:max val="265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AC Input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（Ｖ）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184091"/>
        <c:crosses val="autoZero"/>
        <c:crossBetween val="midCat"/>
        <c:dispUnits/>
        <c:majorUnit val="20"/>
      </c:valAx>
      <c:valAx>
        <c:axId val="111840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系统开关频率（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KHz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02673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最大输出电压时，系统工作频率随输入电压的变化曲线</a:t>
            </a:r>
          </a:p>
        </c:rich>
      </c:tx>
      <c:layout>
        <c:manualLayout>
          <c:xMode val="factor"/>
          <c:yMode val="factor"/>
          <c:x val="0.094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375"/>
          <c:w val="0.91025"/>
          <c:h val="0.83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'反激式系统'!$A$53:$A$63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'反激式系统'!$B$53:$B$63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1123640"/>
        <c:axId val="5985305"/>
      </c:scatterChart>
      <c:valAx>
        <c:axId val="11123640"/>
        <c:scaling>
          <c:orientation val="minMax"/>
          <c:max val="265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AC Input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（Ｖ）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85305"/>
        <c:crosses val="autoZero"/>
        <c:crossBetween val="midCat"/>
        <c:dispUnits/>
        <c:majorUnit val="20"/>
      </c:valAx>
      <c:valAx>
        <c:axId val="5985305"/>
        <c:scaling>
          <c:orientation val="minMax"/>
          <c:max val="1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系统开关频率（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KHz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12364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9525</xdr:rowOff>
    </xdr:from>
    <xdr:to>
      <xdr:col>8</xdr:col>
      <xdr:colOff>800100</xdr:colOff>
      <xdr:row>35</xdr:row>
      <xdr:rowOff>238125</xdr:rowOff>
    </xdr:to>
    <xdr:graphicFrame>
      <xdr:nvGraphicFramePr>
        <xdr:cNvPr id="1" name="图表 13"/>
        <xdr:cNvGraphicFramePr/>
      </xdr:nvGraphicFramePr>
      <xdr:xfrm>
        <a:off x="2381250" y="7305675"/>
        <a:ext cx="72199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38</xdr:row>
      <xdr:rowOff>9525</xdr:rowOff>
    </xdr:from>
    <xdr:to>
      <xdr:col>8</xdr:col>
      <xdr:colOff>800100</xdr:colOff>
      <xdr:row>49</xdr:row>
      <xdr:rowOff>238125</xdr:rowOff>
    </xdr:to>
    <xdr:graphicFrame>
      <xdr:nvGraphicFramePr>
        <xdr:cNvPr id="2" name="图表 2"/>
        <xdr:cNvGraphicFramePr/>
      </xdr:nvGraphicFramePr>
      <xdr:xfrm>
        <a:off x="2381250" y="10648950"/>
        <a:ext cx="7219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51</xdr:row>
      <xdr:rowOff>9525</xdr:rowOff>
    </xdr:from>
    <xdr:to>
      <xdr:col>8</xdr:col>
      <xdr:colOff>800100</xdr:colOff>
      <xdr:row>62</xdr:row>
      <xdr:rowOff>238125</xdr:rowOff>
    </xdr:to>
    <xdr:graphicFrame>
      <xdr:nvGraphicFramePr>
        <xdr:cNvPr id="3" name="图表 3"/>
        <xdr:cNvGraphicFramePr/>
      </xdr:nvGraphicFramePr>
      <xdr:xfrm>
        <a:off x="2381250" y="13754100"/>
        <a:ext cx="72199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9" zoomScaleNormal="89" zoomScalePageLayoutView="0" workbookViewId="0" topLeftCell="A1">
      <selection activeCell="K55" sqref="K55"/>
    </sheetView>
  </sheetViews>
  <sheetFormatPr defaultColWidth="20.625" defaultRowHeight="13.5"/>
  <cols>
    <col min="1" max="1" width="20.625" style="1" customWidth="1"/>
    <col min="2" max="2" width="10.625" style="1" customWidth="1"/>
    <col min="3" max="3" width="10.75390625" style="1" customWidth="1"/>
    <col min="4" max="4" width="20.625" style="1" customWidth="1"/>
    <col min="5" max="6" width="10.75390625" style="1" customWidth="1"/>
    <col min="7" max="7" width="20.625" style="1" customWidth="1"/>
    <col min="8" max="9" width="10.75390625" style="1" customWidth="1"/>
    <col min="10" max="10" width="20.625" style="76" customWidth="1"/>
    <col min="11" max="13" width="20.625" style="3" customWidth="1"/>
    <col min="14" max="16384" width="20.625" style="1" customWidth="1"/>
  </cols>
  <sheetData>
    <row r="1" spans="1:9" ht="87.75" customHeight="1" thickBot="1">
      <c r="A1" s="103" t="s">
        <v>68</v>
      </c>
      <c r="B1" s="104"/>
      <c r="C1" s="104"/>
      <c r="D1" s="104"/>
      <c r="E1" s="104"/>
      <c r="F1" s="104"/>
      <c r="G1" s="104"/>
      <c r="H1" s="104"/>
      <c r="I1" s="105"/>
    </row>
    <row r="2" spans="1:11" ht="50.25" customHeight="1" thickBot="1">
      <c r="A2" s="83" t="s">
        <v>22</v>
      </c>
      <c r="B2" s="84"/>
      <c r="C2" s="84"/>
      <c r="D2" s="84"/>
      <c r="E2" s="84"/>
      <c r="F2" s="84"/>
      <c r="G2" s="84"/>
      <c r="H2" s="84"/>
      <c r="I2" s="85"/>
      <c r="K2" s="3" t="s">
        <v>39</v>
      </c>
    </row>
    <row r="3" spans="1:9" ht="25.5">
      <c r="A3" s="106" t="s">
        <v>17</v>
      </c>
      <c r="B3" s="107"/>
      <c r="C3" s="107"/>
      <c r="D3" s="107"/>
      <c r="E3" s="107"/>
      <c r="F3" s="107"/>
      <c r="G3" s="107"/>
      <c r="H3" s="107"/>
      <c r="I3" s="108"/>
    </row>
    <row r="4" spans="1:9" ht="18.75">
      <c r="A4" s="33" t="s">
        <v>0</v>
      </c>
      <c r="B4" s="34">
        <v>85</v>
      </c>
      <c r="C4" s="35" t="s">
        <v>1</v>
      </c>
      <c r="D4" s="35" t="s">
        <v>36</v>
      </c>
      <c r="E4" s="34">
        <f>7*3.2</f>
        <v>22.400000000000002</v>
      </c>
      <c r="F4" s="35" t="s">
        <v>1</v>
      </c>
      <c r="G4" s="36" t="s">
        <v>37</v>
      </c>
      <c r="H4" s="34">
        <v>600</v>
      </c>
      <c r="I4" s="37" t="s">
        <v>38</v>
      </c>
    </row>
    <row r="5" spans="1:9" ht="19.5" thickBot="1">
      <c r="A5" s="72" t="s">
        <v>2</v>
      </c>
      <c r="B5" s="73">
        <v>265</v>
      </c>
      <c r="C5" s="74" t="s">
        <v>1</v>
      </c>
      <c r="D5" s="74" t="s">
        <v>10</v>
      </c>
      <c r="E5" s="73">
        <v>0.33</v>
      </c>
      <c r="F5" s="74" t="s">
        <v>3</v>
      </c>
      <c r="G5" s="74" t="s">
        <v>19</v>
      </c>
      <c r="H5" s="73">
        <v>45</v>
      </c>
      <c r="I5" s="75" t="s">
        <v>4</v>
      </c>
    </row>
    <row r="6" spans="1:10" ht="25.5">
      <c r="A6" s="109" t="s">
        <v>18</v>
      </c>
      <c r="B6" s="110"/>
      <c r="C6" s="110"/>
      <c r="D6" s="110"/>
      <c r="E6" s="110"/>
      <c r="F6" s="110"/>
      <c r="G6" s="110"/>
      <c r="H6" s="110"/>
      <c r="I6" s="111"/>
      <c r="J6" s="77">
        <f>D10*E4/(D10*E4+1.414*B4)</f>
        <v>0.42709376042709374</v>
      </c>
    </row>
    <row r="7" spans="1:10" ht="18.75">
      <c r="A7" s="102" t="s">
        <v>60</v>
      </c>
      <c r="B7" s="90"/>
      <c r="C7" s="90"/>
      <c r="D7" s="90"/>
      <c r="E7" s="90"/>
      <c r="F7" s="90"/>
      <c r="G7" s="90" t="s">
        <v>61</v>
      </c>
      <c r="H7" s="90"/>
      <c r="I7" s="113"/>
      <c r="J7" s="76" t="s">
        <v>40</v>
      </c>
    </row>
    <row r="8" spans="1:10" ht="21.75">
      <c r="A8" s="4" t="s">
        <v>25</v>
      </c>
      <c r="B8" s="112" t="s">
        <v>57</v>
      </c>
      <c r="C8" s="112"/>
      <c r="D8" s="5" t="s">
        <v>15</v>
      </c>
      <c r="E8" s="6">
        <v>19.5</v>
      </c>
      <c r="F8" s="5" t="s">
        <v>12</v>
      </c>
      <c r="G8" s="64"/>
      <c r="H8" s="64"/>
      <c r="I8" s="66"/>
      <c r="J8" s="77">
        <f>2*1.414*(E4*E5/0.85)/(B4*J6)</f>
        <v>0.6774547391003463</v>
      </c>
    </row>
    <row r="9" spans="1:9" ht="18.75">
      <c r="A9" s="4" t="s">
        <v>24</v>
      </c>
      <c r="B9" s="88" t="s">
        <v>14</v>
      </c>
      <c r="C9" s="88"/>
      <c r="D9" s="88" t="s">
        <v>16</v>
      </c>
      <c r="E9" s="88"/>
      <c r="F9" s="28"/>
      <c r="G9" s="64"/>
      <c r="H9" s="64"/>
      <c r="I9" s="66"/>
    </row>
    <row r="10" spans="1:9" ht="18.75">
      <c r="A10" s="4" t="s">
        <v>23</v>
      </c>
      <c r="B10" s="10">
        <f>(H4-140-B5*1.414)/(E4+1)</f>
        <v>3.6448717948717952</v>
      </c>
      <c r="C10" s="10"/>
      <c r="D10" s="6">
        <v>4</v>
      </c>
      <c r="E10" s="12"/>
      <c r="F10" s="5"/>
      <c r="G10" s="64"/>
      <c r="H10" s="64"/>
      <c r="I10" s="66"/>
    </row>
    <row r="11" spans="1:9" ht="18.75">
      <c r="A11" s="4" t="s">
        <v>6</v>
      </c>
      <c r="B11" s="13">
        <f>B4^2*J6*D10*E4/(2*H5*10^3*(E4*E5/0.9)*(D10*E4+1.414*B4))*10^3</f>
        <v>1.7828809583527259</v>
      </c>
      <c r="C11" s="5" t="s">
        <v>9</v>
      </c>
      <c r="D11" s="11">
        <v>1.7</v>
      </c>
      <c r="E11" s="14" t="s">
        <v>32</v>
      </c>
      <c r="F11" s="5"/>
      <c r="G11" s="64"/>
      <c r="H11" s="64"/>
      <c r="I11" s="66"/>
    </row>
    <row r="12" spans="1:9" ht="18.75">
      <c r="A12" s="4" t="s">
        <v>26</v>
      </c>
      <c r="B12" s="15">
        <f>D11*10^-3*J8/(E8*10^-6*0.33)</f>
        <v>178.9701719457014</v>
      </c>
      <c r="C12" s="5" t="s">
        <v>13</v>
      </c>
      <c r="D12" s="11">
        <v>180</v>
      </c>
      <c r="E12" s="16" t="s">
        <v>33</v>
      </c>
      <c r="F12" s="5"/>
      <c r="G12" s="65" t="s">
        <v>58</v>
      </c>
      <c r="H12" s="70">
        <f>(D11*10^-3*J8)/(E8*10^-6*D12)</f>
        <v>0.3281119819004526</v>
      </c>
      <c r="I12" s="67" t="s">
        <v>62</v>
      </c>
    </row>
    <row r="13" spans="1:9" ht="21.75">
      <c r="A13" s="4" t="s">
        <v>27</v>
      </c>
      <c r="B13" s="13">
        <f>((E4*E5/0.82)/B4/5/3.14)^0.5*2</f>
        <v>0.16437840403099369</v>
      </c>
      <c r="C13" s="5" t="s">
        <v>7</v>
      </c>
      <c r="D13" s="11">
        <v>0.2</v>
      </c>
      <c r="E13" s="14" t="s">
        <v>34</v>
      </c>
      <c r="F13" s="5"/>
      <c r="G13" s="65" t="s">
        <v>64</v>
      </c>
      <c r="H13" s="70">
        <f>((E4*E5/0.82)/B4/(3.14*(D13/2)^2))</f>
        <v>3.377532463972074</v>
      </c>
      <c r="I13" s="67" t="s">
        <v>63</v>
      </c>
    </row>
    <row r="14" spans="1:9" ht="18.75">
      <c r="A14" s="4" t="s">
        <v>28</v>
      </c>
      <c r="B14" s="18">
        <f>D12/D10</f>
        <v>45</v>
      </c>
      <c r="C14" s="5" t="s">
        <v>30</v>
      </c>
      <c r="D14" s="11">
        <v>45</v>
      </c>
      <c r="E14" s="16" t="s">
        <v>33</v>
      </c>
      <c r="F14" s="5"/>
      <c r="G14" s="65" t="s">
        <v>59</v>
      </c>
      <c r="H14" s="71">
        <f>D12/D14</f>
        <v>4</v>
      </c>
      <c r="I14" s="66"/>
    </row>
    <row r="15" spans="1:9" ht="21.75">
      <c r="A15" s="4" t="s">
        <v>29</v>
      </c>
      <c r="B15" s="13">
        <f>(E5/(2/3.14)*0.7/5/3.14)^0.5*2</f>
        <v>0.30397368307141326</v>
      </c>
      <c r="C15" s="5" t="s">
        <v>31</v>
      </c>
      <c r="D15" s="11">
        <v>0.35</v>
      </c>
      <c r="E15" s="16" t="s">
        <v>34</v>
      </c>
      <c r="F15" s="5"/>
      <c r="G15" s="65" t="s">
        <v>65</v>
      </c>
      <c r="H15" s="70">
        <f>(E5/(2/3.14)*0.71)/(3.14*(D15/2)^2)</f>
        <v>3.8253061224489797</v>
      </c>
      <c r="I15" s="67" t="s">
        <v>63</v>
      </c>
    </row>
    <row r="16" spans="1:9" ht="18.75">
      <c r="A16" s="4" t="s">
        <v>35</v>
      </c>
      <c r="B16" s="13">
        <f>D14*14/E4</f>
        <v>28.124999999999996</v>
      </c>
      <c r="C16" s="5" t="s">
        <v>30</v>
      </c>
      <c r="D16" s="11">
        <v>28</v>
      </c>
      <c r="E16" s="5" t="s">
        <v>30</v>
      </c>
      <c r="F16" s="5"/>
      <c r="G16" s="64"/>
      <c r="H16" s="64"/>
      <c r="I16" s="66"/>
    </row>
    <row r="17" spans="1:9" ht="18.75">
      <c r="A17" s="102" t="s">
        <v>46</v>
      </c>
      <c r="B17" s="90"/>
      <c r="C17" s="90"/>
      <c r="D17" s="90" t="s">
        <v>11</v>
      </c>
      <c r="E17" s="90"/>
      <c r="F17" s="90"/>
      <c r="G17" s="86" t="s">
        <v>47</v>
      </c>
      <c r="H17" s="86"/>
      <c r="I17" s="87"/>
    </row>
    <row r="18" spans="1:9" ht="18.75">
      <c r="A18" s="4" t="s">
        <v>24</v>
      </c>
      <c r="B18" s="88" t="s">
        <v>14</v>
      </c>
      <c r="C18" s="88"/>
      <c r="D18" s="5" t="s">
        <v>24</v>
      </c>
      <c r="E18" s="88" t="s">
        <v>14</v>
      </c>
      <c r="F18" s="88"/>
      <c r="G18" s="5" t="s">
        <v>24</v>
      </c>
      <c r="H18" s="88" t="s">
        <v>14</v>
      </c>
      <c r="I18" s="89"/>
    </row>
    <row r="19" spans="1:9" ht="18.75">
      <c r="A19" s="4" t="s">
        <v>41</v>
      </c>
      <c r="B19" s="13">
        <f>D10*0.3/(2*E5)</f>
        <v>1.8181818181818181</v>
      </c>
      <c r="C19" s="62" t="s">
        <v>5</v>
      </c>
      <c r="D19" s="5" t="s">
        <v>20</v>
      </c>
      <c r="E19" s="15">
        <f>J8*3</f>
        <v>2.0323642173010388</v>
      </c>
      <c r="F19" s="5" t="s">
        <v>3</v>
      </c>
      <c r="G19" s="5" t="s">
        <v>8</v>
      </c>
      <c r="H19" s="15">
        <f>B5*1.414/D10+E4+50</f>
        <v>166.0775</v>
      </c>
      <c r="I19" s="7" t="s">
        <v>1</v>
      </c>
    </row>
    <row r="20" spans="1:9" ht="18.75">
      <c r="A20" s="4"/>
      <c r="B20" s="13"/>
      <c r="C20" s="62"/>
      <c r="D20" s="5" t="s">
        <v>66</v>
      </c>
      <c r="E20" s="15">
        <f>B5*1.414+(E4+1)*H14+130</f>
        <v>598.31</v>
      </c>
      <c r="F20" s="5" t="s">
        <v>67</v>
      </c>
      <c r="G20" s="5" t="s">
        <v>20</v>
      </c>
      <c r="H20" s="63">
        <f>E5*4</f>
        <v>1.32</v>
      </c>
      <c r="I20" s="7" t="s">
        <v>3</v>
      </c>
    </row>
    <row r="21" spans="1:9" ht="18.75">
      <c r="A21" s="102" t="s">
        <v>48</v>
      </c>
      <c r="B21" s="90"/>
      <c r="C21" s="90"/>
      <c r="D21" s="90" t="s">
        <v>49</v>
      </c>
      <c r="E21" s="90"/>
      <c r="F21" s="90"/>
      <c r="G21" s="64"/>
      <c r="H21" s="64"/>
      <c r="I21" s="66"/>
    </row>
    <row r="22" spans="1:9" ht="18.75">
      <c r="A22" s="4" t="s">
        <v>24</v>
      </c>
      <c r="B22" s="88" t="s">
        <v>16</v>
      </c>
      <c r="C22" s="88"/>
      <c r="D22" s="5" t="s">
        <v>24</v>
      </c>
      <c r="E22" s="94" t="s">
        <v>14</v>
      </c>
      <c r="F22" s="94"/>
      <c r="G22" s="64"/>
      <c r="H22" s="64"/>
      <c r="I22" s="66"/>
    </row>
    <row r="23" spans="1:9" ht="19.5" thickBot="1">
      <c r="A23" s="9" t="s">
        <v>42</v>
      </c>
      <c r="B23" s="20">
        <v>1.8</v>
      </c>
      <c r="C23" s="47" t="s">
        <v>45</v>
      </c>
      <c r="D23" s="19" t="s">
        <v>42</v>
      </c>
      <c r="E23" s="32">
        <f>2.48*B23*10^6/(B5*1.414-2.48)*10^-3</f>
        <v>11.99258522956237</v>
      </c>
      <c r="F23" s="47" t="s">
        <v>43</v>
      </c>
      <c r="G23" s="68"/>
      <c r="H23" s="68"/>
      <c r="I23" s="69"/>
    </row>
    <row r="24" spans="1:9" ht="18.75">
      <c r="A24" s="98" t="s">
        <v>50</v>
      </c>
      <c r="B24" s="99"/>
      <c r="C24" s="99"/>
      <c r="D24" s="100"/>
      <c r="E24" s="100"/>
      <c r="F24" s="100"/>
      <c r="G24" s="100"/>
      <c r="H24" s="100"/>
      <c r="I24" s="101"/>
    </row>
    <row r="25" spans="1:10" ht="18.75">
      <c r="A25" s="24" t="s">
        <v>54</v>
      </c>
      <c r="B25" s="25" t="s">
        <v>44</v>
      </c>
      <c r="C25" s="26"/>
      <c r="D25" s="27"/>
      <c r="E25" s="28"/>
      <c r="F25" s="28"/>
      <c r="G25" s="28"/>
      <c r="H25" s="28"/>
      <c r="I25" s="8"/>
      <c r="J25" s="76" t="s">
        <v>56</v>
      </c>
    </row>
    <row r="26" spans="1:10" ht="18.75">
      <c r="A26" s="49">
        <f>B4</f>
        <v>85</v>
      </c>
      <c r="B26" s="59">
        <f>A26^2*J26*D10*E4/(2*D11*10^-3*(E4*E5/0.82)*(D10*E4+1.414*A26))*10^-3</f>
        <v>42.99889370144809</v>
      </c>
      <c r="C26" s="29"/>
      <c r="D26" s="5"/>
      <c r="E26" s="18"/>
      <c r="F26" s="5"/>
      <c r="G26" s="5"/>
      <c r="H26" s="18"/>
      <c r="I26" s="7"/>
      <c r="J26" s="77">
        <f>D10*E4/(D10*E4+1.414*A26)</f>
        <v>0.42709376042709374</v>
      </c>
    </row>
    <row r="27" spans="1:10" ht="18.75">
      <c r="A27" s="49">
        <f>(A36-A26)/10+A26</f>
        <v>103</v>
      </c>
      <c r="B27" s="18">
        <f>A27^2*J27*D10*E4/(2*D11*10^-3*(E4*E5/0.82)*(D10*E4+1.414*A27))*10^-3</f>
        <v>50.215029218523895</v>
      </c>
      <c r="C27" s="30"/>
      <c r="D27" s="5"/>
      <c r="E27" s="18"/>
      <c r="F27" s="5"/>
      <c r="G27" s="5"/>
      <c r="H27" s="18"/>
      <c r="I27" s="7"/>
      <c r="J27" s="77">
        <f>D10*E4/(D10*E4+1.414*A27)</f>
        <v>0.380884365887044</v>
      </c>
    </row>
    <row r="28" spans="1:10" ht="18.75">
      <c r="A28" s="49">
        <f>(A36-A26)/10+A27</f>
        <v>121</v>
      </c>
      <c r="B28" s="18">
        <f>A28^2*J28*D10*E4/(2*D11*10^-3*(E4*E5/0.82)*(D10*E4+1.414*A28))*10^-3</f>
        <v>56.428390811969564</v>
      </c>
      <c r="C28" s="30"/>
      <c r="D28" s="5"/>
      <c r="E28" s="18"/>
      <c r="F28" s="5"/>
      <c r="G28" s="5"/>
      <c r="H28" s="18"/>
      <c r="I28" s="7"/>
      <c r="J28" s="77">
        <f>D10*E4/(D10*E4+1.414*A28)</f>
        <v>0.3436979754041136</v>
      </c>
    </row>
    <row r="29" spans="1:10" ht="18.75">
      <c r="A29" s="49">
        <f>(A36-A26)/10+A28</f>
        <v>139</v>
      </c>
      <c r="B29" s="18">
        <f>A29^2*J29*D10*E4/(2*D11*10^-3*(E4*E5/0.82)*(D10*E4+1.414*A29))*10^-3</f>
        <v>61.80779328127026</v>
      </c>
      <c r="C29" s="30"/>
      <c r="D29" s="5"/>
      <c r="E29" s="18"/>
      <c r="F29" s="5"/>
      <c r="G29" s="5"/>
      <c r="H29" s="18"/>
      <c r="I29" s="7"/>
      <c r="J29" s="77">
        <f>D10*E4/(D10*E4+1.414*A29)</f>
        <v>0.31312686530652184</v>
      </c>
    </row>
    <row r="30" spans="1:10" ht="18.75">
      <c r="A30" s="49">
        <f>(A36-A26)/10+A29</f>
        <v>157</v>
      </c>
      <c r="B30" s="18">
        <f>A30^2*J30*D10*E4/(2*D11*10^-3*(E4*E5/0.82)*(D10*E4+1.414*A30))*10^-3</f>
        <v>66.4965292780007</v>
      </c>
      <c r="C30" s="30"/>
      <c r="D30" s="5"/>
      <c r="E30" s="18"/>
      <c r="F30" s="5"/>
      <c r="G30" s="5"/>
      <c r="H30" s="18"/>
      <c r="I30" s="7"/>
      <c r="J30" s="77">
        <f>D10*E4/(D10*E4+1.414*A30)</f>
        <v>0.28754998427461026</v>
      </c>
    </row>
    <row r="31" spans="1:10" ht="18.75">
      <c r="A31" s="49">
        <f>(A36-A26)/10+A30</f>
        <v>175</v>
      </c>
      <c r="B31" s="18">
        <f>A31^2*J31*D10*E4/(2*D11*10^-3*(E4*E5/0.82)*(D10*E4+1.414*A31))*10^-3</f>
        <v>70.61166154319821</v>
      </c>
      <c r="C31" s="30"/>
      <c r="D31" s="5"/>
      <c r="E31" s="18"/>
      <c r="F31" s="5"/>
      <c r="G31" s="5"/>
      <c r="H31" s="18"/>
      <c r="I31" s="7"/>
      <c r="J31" s="77">
        <f>D10*E4/(D10*E4+1.414*A31)</f>
        <v>0.26583592938733125</v>
      </c>
    </row>
    <row r="32" spans="1:10" ht="18.75">
      <c r="A32" s="49">
        <f>(A36-A26)/10+A31</f>
        <v>193</v>
      </c>
      <c r="B32" s="18">
        <f>A32^2*J32*D10*E4/(2*D11*10^-3*(E4*E5/0.82)*(D10*E4+1.414*A32))*10^-3</f>
        <v>74.24766504956457</v>
      </c>
      <c r="C32" s="30"/>
      <c r="D32" s="5"/>
      <c r="E32" s="18"/>
      <c r="F32" s="5"/>
      <c r="G32" s="5"/>
      <c r="H32" s="18"/>
      <c r="I32" s="7"/>
      <c r="J32" s="77">
        <f>D10*E4/(D10*E4+1.414*A32)</f>
        <v>0.24717105009075813</v>
      </c>
    </row>
    <row r="33" spans="1:10" ht="18.75">
      <c r="A33" s="49">
        <f>(A36-A26)/10+A32</f>
        <v>211</v>
      </c>
      <c r="B33" s="18">
        <f>A33^2*J33*D10*E4/(2*D11*10^-3*(E4*E5/0.82)*(D10*E4+1.414*A33))*10^-3</f>
        <v>77.4806827491819</v>
      </c>
      <c r="C33" s="30"/>
      <c r="D33" s="5"/>
      <c r="E33" s="18"/>
      <c r="F33" s="5"/>
      <c r="G33" s="5"/>
      <c r="H33" s="18"/>
      <c r="I33" s="7"/>
      <c r="J33" s="77">
        <f>D10*E4/(D10*E4+1.414*A33)</f>
        <v>0.23095521634008156</v>
      </c>
    </row>
    <row r="34" spans="1:10" ht="18.75">
      <c r="A34" s="49">
        <f>(A36-A26)/10+A33</f>
        <v>229</v>
      </c>
      <c r="B34" s="18">
        <f>A34^2*J34*D10*E4/(2*D11*10^-3*(E4*E5/0.82)*(D10*E4+1.414*A34))*10^-3</f>
        <v>80.37230249680391</v>
      </c>
      <c r="C34" s="30"/>
      <c r="D34" s="5"/>
      <c r="E34" s="18"/>
      <c r="F34" s="5"/>
      <c r="G34" s="5"/>
      <c r="H34" s="18"/>
      <c r="I34" s="7"/>
      <c r="J34" s="77">
        <f>D10*E4/(D10*E4+1.414*A34)</f>
        <v>0.21673608994547736</v>
      </c>
    </row>
    <row r="35" spans="1:10" ht="18.75">
      <c r="A35" s="49">
        <f>(A36-A26)/10+A34</f>
        <v>247</v>
      </c>
      <c r="B35" s="18">
        <f>A35^2*J35*D10*E4/(2*D11*10^-3*(E4*E5/0.82)*(D10*E4+1.414*A35))*10^-3</f>
        <v>82.97263145066991</v>
      </c>
      <c r="C35" s="30"/>
      <c r="D35" s="5"/>
      <c r="E35" s="18"/>
      <c r="F35" s="5"/>
      <c r="G35" s="5"/>
      <c r="H35" s="18"/>
      <c r="I35" s="7"/>
      <c r="J35" s="77">
        <f>D10*E4/(D10*E4+1.414*A35)</f>
        <v>0.2041662679044247</v>
      </c>
    </row>
    <row r="36" spans="1:10" ht="19.5" thickBot="1">
      <c r="A36" s="60">
        <f>B5</f>
        <v>265</v>
      </c>
      <c r="B36" s="23">
        <f>A36^2*J36*D10*E4/(2*D11*10^-3*(E4*E5/0.82)*(D10*E4+1.414*A36))*10^-3</f>
        <v>85.32271564743903</v>
      </c>
      <c r="C36" s="38"/>
      <c r="D36" s="22"/>
      <c r="E36" s="23"/>
      <c r="F36" s="22"/>
      <c r="G36" s="22"/>
      <c r="H36" s="23"/>
      <c r="I36" s="39"/>
      <c r="J36" s="77">
        <f>D10*E4/(D10*E4+1.414*A36)</f>
        <v>0.1929745213327303</v>
      </c>
    </row>
    <row r="37" spans="1:9" ht="18.75">
      <c r="A37" s="95" t="s">
        <v>51</v>
      </c>
      <c r="B37" s="96"/>
      <c r="C37" s="96"/>
      <c r="D37" s="96"/>
      <c r="E37" s="96"/>
      <c r="F37" s="96"/>
      <c r="G37" s="96"/>
      <c r="H37" s="96"/>
      <c r="I37" s="97"/>
    </row>
    <row r="38" spans="1:10" ht="18.75">
      <c r="A38" s="49" t="s">
        <v>52</v>
      </c>
      <c r="B38" s="58">
        <v>16</v>
      </c>
      <c r="C38" s="50" t="s">
        <v>1</v>
      </c>
      <c r="D38" s="21"/>
      <c r="E38" s="21"/>
      <c r="F38" s="21"/>
      <c r="G38" s="21"/>
      <c r="H38" s="21"/>
      <c r="I38" s="48"/>
      <c r="J38" s="76" t="s">
        <v>56</v>
      </c>
    </row>
    <row r="39" spans="1:9" ht="18.75">
      <c r="A39" s="4" t="s">
        <v>55</v>
      </c>
      <c r="B39" s="25" t="s">
        <v>44</v>
      </c>
      <c r="C39" s="26"/>
      <c r="D39" s="28"/>
      <c r="E39" s="28"/>
      <c r="F39" s="28"/>
      <c r="G39" s="28"/>
      <c r="H39" s="28"/>
      <c r="I39" s="8"/>
    </row>
    <row r="40" spans="1:10" ht="18.75">
      <c r="A40" s="49">
        <f aca="true" t="shared" si="0" ref="A40:A50">A26</f>
        <v>85</v>
      </c>
      <c r="B40" s="18">
        <f>A40^2*J40*D10*B38/(2*D11*10^-3*(E5*B38/0.8)*(D10*B38+1.414*A40))*10^-3</f>
        <v>38.87253390591633</v>
      </c>
      <c r="C40" s="30"/>
      <c r="D40" s="5"/>
      <c r="E40" s="18"/>
      <c r="F40" s="5"/>
      <c r="G40" s="5"/>
      <c r="H40" s="18"/>
      <c r="I40" s="7"/>
      <c r="J40" s="77">
        <f>D10*B38/(D10*B38+1.414*A40)</f>
        <v>0.3474672892122265</v>
      </c>
    </row>
    <row r="41" spans="1:10" ht="18.75">
      <c r="A41" s="49">
        <f t="shared" si="0"/>
        <v>103</v>
      </c>
      <c r="B41" s="18">
        <f>A41^2*J41*D10*B38/(2*D11*10^-3*(E5*B38/0.8)*(D10*B38+1.414*A41))*10^-3</f>
        <v>44.06106155234292</v>
      </c>
      <c r="C41" s="30"/>
      <c r="D41" s="5"/>
      <c r="E41" s="18"/>
      <c r="F41" s="5"/>
      <c r="G41" s="5"/>
      <c r="H41" s="18"/>
      <c r="I41" s="7"/>
      <c r="J41" s="77">
        <f>D10*B38/(D10*B38+1.414*A41)</f>
        <v>0.30528233846271263</v>
      </c>
    </row>
    <row r="42" spans="1:10" ht="18.75">
      <c r="A42" s="49">
        <f t="shared" si="0"/>
        <v>121</v>
      </c>
      <c r="B42" s="18">
        <f>A42^2*J42*D10*B38/(2*D11*10^-3*(E5*B38/0.8)*(D10*B38+1.414*A42))*10^-3</f>
        <v>48.353147060221765</v>
      </c>
      <c r="C42" s="30"/>
      <c r="D42" s="5"/>
      <c r="E42" s="18"/>
      <c r="F42" s="5"/>
      <c r="G42" s="5"/>
      <c r="H42" s="18"/>
      <c r="I42" s="7"/>
      <c r="J42" s="77">
        <f>D10*B38/(D10*B38+1.414*A42)</f>
        <v>0.2722315329187474</v>
      </c>
    </row>
    <row r="43" spans="1:10" ht="18.75">
      <c r="A43" s="49">
        <f t="shared" si="0"/>
        <v>139</v>
      </c>
      <c r="B43" s="18">
        <f>A43^2*J43*D10*B38/(2*D11*10^-3*(E5*B38/0.8)*(D10*B38+1.414*A43))*10^-3</f>
        <v>51.95147418454046</v>
      </c>
      <c r="C43" s="30"/>
      <c r="D43" s="5"/>
      <c r="E43" s="18"/>
      <c r="F43" s="5"/>
      <c r="G43" s="5"/>
      <c r="H43" s="18"/>
      <c r="I43" s="7"/>
      <c r="J43" s="77">
        <f>D10*B38/(D10*B38+1.414*A43)</f>
        <v>0.24563800634053104</v>
      </c>
    </row>
    <row r="44" spans="1:10" ht="18.75">
      <c r="A44" s="49">
        <f t="shared" si="0"/>
        <v>157</v>
      </c>
      <c r="B44" s="18">
        <f>A44^2*J44*D10*B38/(2*D11*10^-3*(E5*B38/0.8)*(D10*B38+1.414*A44))*10^-3</f>
        <v>55.00604350938181</v>
      </c>
      <c r="C44" s="30"/>
      <c r="D44" s="5"/>
      <c r="E44" s="18"/>
      <c r="F44" s="5"/>
      <c r="G44" s="5"/>
      <c r="H44" s="18"/>
      <c r="I44" s="7"/>
      <c r="J44" s="77">
        <f>D10*B38/(D10*B38+1.414*A44)</f>
        <v>0.22377778865586473</v>
      </c>
    </row>
    <row r="45" spans="1:10" ht="18.75">
      <c r="A45" s="49">
        <f t="shared" si="0"/>
        <v>175</v>
      </c>
      <c r="B45" s="18">
        <f>A45^2*J45*D10*B38/(2*D11*10^-3*(E5*B38/0.8)*(D10*B38+1.414*A45))*10^-3</f>
        <v>57.62839474233753</v>
      </c>
      <c r="C45" s="30"/>
      <c r="D45" s="5"/>
      <c r="E45" s="18"/>
      <c r="F45" s="5"/>
      <c r="G45" s="5"/>
      <c r="H45" s="18"/>
      <c r="I45" s="7"/>
      <c r="J45" s="77">
        <f>D10*B38/(D10*B38+1.414*A45)</f>
        <v>0.20549044790496068</v>
      </c>
    </row>
    <row r="46" spans="1:10" ht="18.75">
      <c r="A46" s="49">
        <f t="shared" si="0"/>
        <v>193</v>
      </c>
      <c r="B46" s="18">
        <f>A46^2*J46*D10*B38/(2*D11*10^-3*(E5*B38/0.8)*(D10*B38+1.414*A46))*10^-3</f>
        <v>59.90244307156607</v>
      </c>
      <c r="C46" s="30"/>
      <c r="D46" s="5"/>
      <c r="E46" s="18"/>
      <c r="F46" s="5"/>
      <c r="G46" s="5"/>
      <c r="H46" s="18"/>
      <c r="I46" s="7"/>
      <c r="J46" s="77">
        <f>D10*B38/(D10*B38+1.414*A46)</f>
        <v>0.1899662216312162</v>
      </c>
    </row>
    <row r="47" spans="1:10" ht="18.75">
      <c r="A47" s="49">
        <f t="shared" si="0"/>
        <v>211</v>
      </c>
      <c r="B47" s="18">
        <f>A47^2*J47*D10*B38/(2*D11*10^-3*(E5*B38/0.8)*(D10*B38+1.414*A47))*10^-3</f>
        <v>61.8921951643235</v>
      </c>
      <c r="C47" s="30"/>
      <c r="D47" s="5"/>
      <c r="E47" s="18"/>
      <c r="F47" s="5"/>
      <c r="G47" s="5"/>
      <c r="H47" s="18"/>
      <c r="I47" s="7"/>
      <c r="J47" s="77">
        <f>D10*B38/(D10*B38+1.414*A47)</f>
        <v>0.1766228605176154</v>
      </c>
    </row>
    <row r="48" spans="1:10" ht="18.75">
      <c r="A48" s="49">
        <f t="shared" si="0"/>
        <v>229</v>
      </c>
      <c r="B48" s="18">
        <f>A48^2*J48*D10*B38/(2*D11*10^-3*(E5*B38/0.8)*(D10*B38+1.414*A48))*10^-3</f>
        <v>63.64715739125569</v>
      </c>
      <c r="C48" s="30"/>
      <c r="D48" s="5"/>
      <c r="E48" s="18"/>
      <c r="F48" s="5"/>
      <c r="G48" s="5"/>
      <c r="H48" s="18"/>
      <c r="I48" s="7"/>
      <c r="J48" s="77">
        <f>D10*B38/(D10*B38+1.414*A48)</f>
        <v>0.16503096909279383</v>
      </c>
    </row>
    <row r="49" spans="1:10" ht="18.75">
      <c r="A49" s="49">
        <f t="shared" si="0"/>
        <v>247</v>
      </c>
      <c r="B49" s="18">
        <f>A49^2*J49*D10*B38/(2*D11*10^-3*(E5*B38/0.8)*(D10*B38+1.414*A49))*10^-3</f>
        <v>65.20613560067643</v>
      </c>
      <c r="C49" s="30"/>
      <c r="D49" s="5"/>
      <c r="E49" s="18"/>
      <c r="F49" s="5"/>
      <c r="G49" s="5"/>
      <c r="H49" s="18"/>
      <c r="I49" s="7"/>
      <c r="J49" s="77">
        <f>D10*B38/(D10*B38+1.414*A49)</f>
        <v>0.15486693542532753</v>
      </c>
    </row>
    <row r="50" spans="1:10" ht="19.5" thickBot="1">
      <c r="A50" s="60">
        <f t="shared" si="0"/>
        <v>265</v>
      </c>
      <c r="B50" s="23">
        <f>A50^2*J50*D10*B38/(2*D11*10^-3*(E5*B38/0.8)*(D10*B38+1.414*A50))*10^-3</f>
        <v>66.59993043135867</v>
      </c>
      <c r="C50" s="38"/>
      <c r="D50" s="22"/>
      <c r="E50" s="23"/>
      <c r="F50" s="22"/>
      <c r="G50" s="22"/>
      <c r="H50" s="23"/>
      <c r="I50" s="39"/>
      <c r="J50" s="77">
        <f>D10*B38/(D10*B38+1.414*A50)</f>
        <v>0.14588224567481936</v>
      </c>
    </row>
    <row r="51" spans="1:10" ht="18.75">
      <c r="A51" s="52" t="s">
        <v>53</v>
      </c>
      <c r="B51" s="57">
        <v>26</v>
      </c>
      <c r="C51" s="53" t="s">
        <v>1</v>
      </c>
      <c r="D51" s="54"/>
      <c r="E51" s="55"/>
      <c r="F51" s="54"/>
      <c r="G51" s="54"/>
      <c r="H51" s="55"/>
      <c r="I51" s="56"/>
      <c r="J51" s="77"/>
    </row>
    <row r="52" spans="1:10" ht="18.75">
      <c r="A52" s="4" t="s">
        <v>55</v>
      </c>
      <c r="B52" s="25" t="s">
        <v>44</v>
      </c>
      <c r="C52" s="26"/>
      <c r="D52" s="28"/>
      <c r="E52" s="28"/>
      <c r="F52" s="28"/>
      <c r="G52" s="28"/>
      <c r="H52" s="28"/>
      <c r="I52" s="8"/>
      <c r="J52" s="77"/>
    </row>
    <row r="53" spans="1:10" ht="18.75">
      <c r="A53" s="49">
        <f aca="true" t="shared" si="1" ref="A53:A63">A40</f>
        <v>85</v>
      </c>
      <c r="B53" s="18">
        <f>A53^2*J53*D10*B51/(2*D11*10^-3*(B51*E5/0.85)*(D10*B51+1.414*A53))*10^-3</f>
        <v>45.30277203412153</v>
      </c>
      <c r="C53" s="30"/>
      <c r="D53" s="5"/>
      <c r="E53" s="18"/>
      <c r="F53" s="5"/>
      <c r="G53" s="5"/>
      <c r="H53" s="18"/>
      <c r="I53" s="7"/>
      <c r="J53" s="77">
        <f>D10*B51/(D10*B51+1.414*A53)</f>
        <v>0.4638922342655783</v>
      </c>
    </row>
    <row r="54" spans="1:10" ht="18.75">
      <c r="A54" s="49">
        <f t="shared" si="1"/>
        <v>103</v>
      </c>
      <c r="B54" s="18">
        <f>A54^2*J54*D10*B51/(2*D11*10^-3*(B51*E5/0.85)*(D10*B51+1.414*A54))*10^-3</f>
        <v>53.64861841788312</v>
      </c>
      <c r="C54" s="30"/>
      <c r="D54" s="5"/>
      <c r="E54" s="18"/>
      <c r="F54" s="5"/>
      <c r="G54" s="5"/>
      <c r="H54" s="18"/>
      <c r="I54" s="7"/>
      <c r="J54" s="77">
        <f>D10*B51/(D10*B51+1.414*A54)</f>
        <v>0.41659656628291714</v>
      </c>
    </row>
    <row r="55" spans="1:10" ht="18.75">
      <c r="A55" s="49">
        <f t="shared" si="1"/>
        <v>121</v>
      </c>
      <c r="B55" s="18">
        <f>A55^2*J55*D10*B51/(2*D11*10^-3*(B51*E5/0.85)*(D10*B51+1.414*A55))*10^-3</f>
        <v>60.97164377659029</v>
      </c>
      <c r="C55" s="30"/>
      <c r="D55" s="5"/>
      <c r="E55" s="18"/>
      <c r="F55" s="5"/>
      <c r="G55" s="5"/>
      <c r="H55" s="18"/>
      <c r="I55" s="7"/>
      <c r="J55" s="77">
        <f>D10*B51/(D10*B51+1.414*A55)</f>
        <v>0.37805259293187055</v>
      </c>
    </row>
    <row r="56" spans="1:10" ht="18.75">
      <c r="A56" s="49">
        <f t="shared" si="1"/>
        <v>139</v>
      </c>
      <c r="B56" s="18">
        <f>A56^2*J56*D10*B51/(2*D11*10^-3*(B51*E5/0.85)*(D10*B51+1.414*A56))*10^-3</f>
        <v>67.41042968167837</v>
      </c>
      <c r="C56" s="30"/>
      <c r="D56" s="5"/>
      <c r="E56" s="18"/>
      <c r="F56" s="5"/>
      <c r="G56" s="5"/>
      <c r="H56" s="18"/>
      <c r="I56" s="7"/>
      <c r="J56" s="77">
        <f>D10*B51/(D10*B51+1.414*A56)</f>
        <v>0.34603687954589313</v>
      </c>
    </row>
    <row r="57" spans="1:10" ht="18.75">
      <c r="A57" s="49">
        <f t="shared" si="1"/>
        <v>157</v>
      </c>
      <c r="B57" s="18">
        <f>A57^2*J57*D10*B51/(2*D11*10^-3*(B51*E5/0.85)*(D10*B51+1.414*A57))*10^-3</f>
        <v>73.09519564918179</v>
      </c>
      <c r="C57" s="30"/>
      <c r="D57" s="5"/>
      <c r="E57" s="18"/>
      <c r="F57" s="5"/>
      <c r="G57" s="5"/>
      <c r="H57" s="18"/>
      <c r="I57" s="7"/>
      <c r="J57" s="77">
        <f>D10*B51/(D10*B51+1.414*A57)</f>
        <v>0.31902036208811096</v>
      </c>
    </row>
    <row r="58" spans="1:10" ht="18.75">
      <c r="A58" s="49">
        <f t="shared" si="1"/>
        <v>175</v>
      </c>
      <c r="B58" s="18">
        <f>A58^2*J58*D10*B51/(2*D11*10^-3*(B51*E5/0.85)*(D10*B51+1.414*A58))*10^-3</f>
        <v>78.13909941350148</v>
      </c>
      <c r="C58" s="30"/>
      <c r="D58" s="5"/>
      <c r="E58" s="18"/>
      <c r="F58" s="5"/>
      <c r="G58" s="5"/>
      <c r="H58" s="18"/>
      <c r="I58" s="7"/>
      <c r="J58" s="77">
        <f>D10*B51/(D10*B51+1.414*A58)</f>
        <v>0.2959169156352255</v>
      </c>
    </row>
    <row r="59" spans="1:10" ht="18.75">
      <c r="A59" s="49">
        <f t="shared" si="1"/>
        <v>193</v>
      </c>
      <c r="B59" s="18">
        <f>A59^2*J59*D10*B51/(2*D11*10^-3*(B51*E5/0.85)*(D10*B51+1.414*A59))*10^-3</f>
        <v>82.6374930088984</v>
      </c>
      <c r="C59" s="30"/>
      <c r="D59" s="5"/>
      <c r="E59" s="18"/>
      <c r="F59" s="5"/>
      <c r="G59" s="5"/>
      <c r="H59" s="18"/>
      <c r="I59" s="7"/>
      <c r="J59" s="77">
        <f>D10*B51/(D10*B51+1.414*A59)</f>
        <v>0.2759337971143693</v>
      </c>
    </row>
    <row r="60" spans="1:10" ht="18.75">
      <c r="A60" s="49">
        <f t="shared" si="1"/>
        <v>211</v>
      </c>
      <c r="B60" s="18">
        <f>A60^2*J60*D10*B51/(2*D11*10^-3*(B51*E5/0.85)*(D10*B51+1.414*A60))*10^-3</f>
        <v>86.66977389535053</v>
      </c>
      <c r="C60" s="30"/>
      <c r="D60" s="5"/>
      <c r="E60" s="18"/>
      <c r="F60" s="5"/>
      <c r="G60" s="5"/>
      <c r="H60" s="18"/>
      <c r="I60" s="7"/>
      <c r="J60" s="77">
        <f>D10*B51/(D10*B51+1.414*A60)</f>
        <v>0.25847885195623754</v>
      </c>
    </row>
    <row r="61" spans="1:10" ht="18.75">
      <c r="A61" s="49">
        <f t="shared" si="1"/>
        <v>229</v>
      </c>
      <c r="B61" s="18">
        <f>A61^2*J61*D10*B51/(2*D11*10^-3*(B51*E5/0.85)*(D10*B51+1.414*A61))*10^-3</f>
        <v>90.30184455506256</v>
      </c>
      <c r="C61" s="30"/>
      <c r="D61" s="5"/>
      <c r="E61" s="18"/>
      <c r="F61" s="5"/>
      <c r="G61" s="5"/>
      <c r="H61" s="18"/>
      <c r="I61" s="7"/>
      <c r="J61" s="77">
        <f>D10*B51/(D10*B51+1.414*A61)</f>
        <v>0.24310084477543561</v>
      </c>
    </row>
    <row r="62" spans="1:10" ht="18.75">
      <c r="A62" s="49">
        <f t="shared" si="1"/>
        <v>247</v>
      </c>
      <c r="B62" s="18">
        <f>A62^2*J62*D10*B51/(2*D11*10^-3*(B51*E5/0.85)*(D10*B51+1.414*A62))*10^-3</f>
        <v>93.58847048840995</v>
      </c>
      <c r="C62" s="30"/>
      <c r="D62" s="5"/>
      <c r="E62" s="18"/>
      <c r="F62" s="5"/>
      <c r="G62" s="5"/>
      <c r="H62" s="18"/>
      <c r="I62" s="7"/>
      <c r="J62" s="77">
        <f>D10*B51/(D10*B51+1.414*A62)</f>
        <v>0.22944989387942408</v>
      </c>
    </row>
    <row r="63" spans="1:10" ht="19.5" thickBot="1">
      <c r="A63" s="61">
        <f t="shared" si="1"/>
        <v>265</v>
      </c>
      <c r="B63" s="32">
        <f>A63^2*J63*D10*B51/(2*D11*10^-3*(B51*E5/0.85)*(D10*B51+1.414*A63))*10^-3</f>
        <v>96.57531820570345</v>
      </c>
      <c r="C63" s="31"/>
      <c r="D63" s="19"/>
      <c r="E63" s="32"/>
      <c r="F63" s="19"/>
      <c r="G63" s="19"/>
      <c r="H63" s="32"/>
      <c r="I63" s="17"/>
      <c r="J63" s="77">
        <f>D10*B51/(D10*B51+1.414*A63)</f>
        <v>0.2172505274592133</v>
      </c>
    </row>
    <row r="64" spans="1:13" s="2" customFormat="1" ht="31.5">
      <c r="A64" s="91" t="s">
        <v>21</v>
      </c>
      <c r="B64" s="92"/>
      <c r="C64" s="92"/>
      <c r="D64" s="92"/>
      <c r="E64" s="92"/>
      <c r="F64" s="92"/>
      <c r="G64" s="92"/>
      <c r="H64" s="92"/>
      <c r="I64" s="93"/>
      <c r="J64" s="78"/>
      <c r="K64" s="51"/>
      <c r="L64" s="51"/>
      <c r="M64" s="51"/>
    </row>
    <row r="65" spans="1:13" s="2" customFormat="1" ht="31.5">
      <c r="A65" s="40"/>
      <c r="B65" s="41"/>
      <c r="C65" s="41"/>
      <c r="D65" s="41"/>
      <c r="E65" s="41"/>
      <c r="F65" s="41"/>
      <c r="G65" s="41"/>
      <c r="H65" s="41"/>
      <c r="I65" s="42"/>
      <c r="J65" s="78"/>
      <c r="K65" s="51"/>
      <c r="L65" s="51"/>
      <c r="M65" s="51"/>
    </row>
    <row r="66" spans="1:13" s="2" customFormat="1" ht="31.5">
      <c r="A66" s="43"/>
      <c r="B66" s="41"/>
      <c r="C66" s="41"/>
      <c r="D66" s="41"/>
      <c r="E66" s="41"/>
      <c r="F66" s="41"/>
      <c r="G66" s="41"/>
      <c r="H66" s="41"/>
      <c r="I66" s="42"/>
      <c r="J66" s="78"/>
      <c r="K66" s="51"/>
      <c r="L66" s="51"/>
      <c r="M66" s="51"/>
    </row>
    <row r="67" spans="1:13" s="2" customFormat="1" ht="31.5">
      <c r="A67" s="43"/>
      <c r="B67" s="41"/>
      <c r="C67" s="41"/>
      <c r="D67" s="41"/>
      <c r="E67" s="41"/>
      <c r="F67" s="41"/>
      <c r="G67" s="41"/>
      <c r="H67" s="41"/>
      <c r="I67" s="42"/>
      <c r="J67" s="78"/>
      <c r="K67" s="51"/>
      <c r="L67" s="51"/>
      <c r="M67" s="51"/>
    </row>
    <row r="68" spans="1:13" s="2" customFormat="1" ht="31.5">
      <c r="A68" s="43"/>
      <c r="B68" s="41"/>
      <c r="C68" s="41"/>
      <c r="D68" s="41"/>
      <c r="E68" s="41"/>
      <c r="F68" s="41"/>
      <c r="G68" s="41"/>
      <c r="H68" s="41"/>
      <c r="I68" s="42"/>
      <c r="J68" s="78"/>
      <c r="K68" s="51"/>
      <c r="L68" s="51"/>
      <c r="M68" s="51"/>
    </row>
    <row r="69" spans="1:13" s="2" customFormat="1" ht="31.5">
      <c r="A69" s="43"/>
      <c r="B69" s="41"/>
      <c r="C69" s="41"/>
      <c r="D69" s="41"/>
      <c r="E69" s="41"/>
      <c r="F69" s="41"/>
      <c r="G69" s="41"/>
      <c r="H69" s="41"/>
      <c r="I69" s="42"/>
      <c r="J69" s="78"/>
      <c r="K69" s="51"/>
      <c r="L69" s="51"/>
      <c r="M69" s="51"/>
    </row>
    <row r="70" spans="1:12" ht="31.5">
      <c r="A70" s="43"/>
      <c r="B70" s="41"/>
      <c r="C70" s="41"/>
      <c r="D70" s="41"/>
      <c r="E70" s="41"/>
      <c r="F70" s="41"/>
      <c r="G70" s="41"/>
      <c r="H70" s="41"/>
      <c r="I70" s="42"/>
      <c r="J70" s="78"/>
      <c r="K70" s="51"/>
      <c r="L70" s="51"/>
    </row>
    <row r="71" spans="1:11" ht="31.5">
      <c r="A71" s="43"/>
      <c r="B71" s="41"/>
      <c r="C71" s="41"/>
      <c r="D71" s="41"/>
      <c r="E71" s="41"/>
      <c r="F71" s="41"/>
      <c r="G71" s="41"/>
      <c r="H71" s="41"/>
      <c r="I71" s="42"/>
      <c r="J71" s="78"/>
      <c r="K71" s="51"/>
    </row>
    <row r="72" spans="1:11" ht="31.5">
      <c r="A72" s="43"/>
      <c r="B72" s="41"/>
      <c r="C72" s="41"/>
      <c r="D72" s="41"/>
      <c r="E72" s="41"/>
      <c r="F72" s="41"/>
      <c r="G72" s="41"/>
      <c r="H72" s="41"/>
      <c r="I72" s="42"/>
      <c r="J72" s="78"/>
      <c r="K72" s="51"/>
    </row>
    <row r="73" spans="1:10" ht="31.5">
      <c r="A73" s="43"/>
      <c r="B73" s="41"/>
      <c r="C73" s="41"/>
      <c r="D73" s="41"/>
      <c r="E73" s="41"/>
      <c r="F73" s="41"/>
      <c r="G73" s="41"/>
      <c r="H73" s="41"/>
      <c r="I73" s="42"/>
      <c r="J73" s="78"/>
    </row>
    <row r="74" spans="1:10" ht="32.25" thickBot="1">
      <c r="A74" s="44"/>
      <c r="B74" s="45"/>
      <c r="C74" s="45"/>
      <c r="D74" s="45"/>
      <c r="E74" s="45"/>
      <c r="F74" s="45"/>
      <c r="G74" s="45"/>
      <c r="H74" s="45"/>
      <c r="I74" s="46"/>
      <c r="J74" s="78"/>
    </row>
  </sheetData>
  <sheetProtection password="85EF" sheet="1" objects="1" scenarios="1" formatCells="0" formatColumns="0" formatRows="0" insertColumns="0" insertRows="0" deleteColumns="0" deleteRows="0" sort="0"/>
  <mergeCells count="22">
    <mergeCell ref="G7:I7"/>
    <mergeCell ref="A17:C17"/>
    <mergeCell ref="B18:C18"/>
    <mergeCell ref="A1:I1"/>
    <mergeCell ref="A2:I2"/>
    <mergeCell ref="A3:I3"/>
    <mergeCell ref="A6:I6"/>
    <mergeCell ref="B9:C9"/>
    <mergeCell ref="A7:F7"/>
    <mergeCell ref="B8:C8"/>
    <mergeCell ref="D9:E9"/>
    <mergeCell ref="A64:I64"/>
    <mergeCell ref="D21:F21"/>
    <mergeCell ref="E22:F22"/>
    <mergeCell ref="A37:I37"/>
    <mergeCell ref="A24:I24"/>
    <mergeCell ref="A21:C21"/>
    <mergeCell ref="B22:C22"/>
    <mergeCell ref="G17:I17"/>
    <mergeCell ref="H18:I18"/>
    <mergeCell ref="E18:F18"/>
    <mergeCell ref="D17:F17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  <oleObjects>
    <oleObject progId="Visio.Drawing.11" shapeId="1852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47" sqref="B47"/>
    </sheetView>
  </sheetViews>
  <sheetFormatPr defaultColWidth="9.00390625" defaultRowHeight="13.5"/>
  <sheetData>
    <row r="1" spans="1:6" ht="13.5">
      <c r="A1" s="79" t="s">
        <v>69</v>
      </c>
      <c r="B1" s="79" t="s">
        <v>70</v>
      </c>
      <c r="C1" s="80" t="s">
        <v>71</v>
      </c>
      <c r="D1" s="79"/>
      <c r="E1" s="114" t="s">
        <v>72</v>
      </c>
      <c r="F1" s="114"/>
    </row>
    <row r="2" spans="1:6" ht="13.5">
      <c r="A2" s="79" t="s">
        <v>73</v>
      </c>
      <c r="B2" s="81" t="s">
        <v>74</v>
      </c>
      <c r="C2" s="79" t="s">
        <v>75</v>
      </c>
      <c r="D2" s="79"/>
      <c r="E2" s="79"/>
      <c r="F2" s="79"/>
    </row>
    <row r="3" spans="1:6" ht="13.5">
      <c r="A3" s="79" t="s">
        <v>76</v>
      </c>
      <c r="B3" s="81" t="s">
        <v>77</v>
      </c>
      <c r="C3" s="79" t="s">
        <v>78</v>
      </c>
      <c r="D3" s="79"/>
      <c r="E3" s="79"/>
      <c r="F3" s="79"/>
    </row>
    <row r="4" spans="1:6" ht="13.5">
      <c r="A4" s="79" t="s">
        <v>79</v>
      </c>
      <c r="B4" s="81" t="s">
        <v>80</v>
      </c>
      <c r="C4" s="79" t="s">
        <v>75</v>
      </c>
      <c r="D4" s="79"/>
      <c r="E4" s="79"/>
      <c r="F4" s="79"/>
    </row>
    <row r="5" spans="1:6" ht="13.5">
      <c r="A5" s="79" t="s">
        <v>81</v>
      </c>
      <c r="B5" s="81" t="s">
        <v>82</v>
      </c>
      <c r="C5" s="79"/>
      <c r="D5" s="79"/>
      <c r="E5" s="79"/>
      <c r="F5" s="79"/>
    </row>
    <row r="6" spans="1:6" ht="13.5">
      <c r="A6" s="79" t="s">
        <v>83</v>
      </c>
      <c r="B6" s="81" t="s">
        <v>84</v>
      </c>
      <c r="C6" s="79"/>
      <c r="D6" s="79"/>
      <c r="E6" s="79"/>
      <c r="F6" s="79"/>
    </row>
    <row r="7" spans="1:6" ht="13.5">
      <c r="A7" s="79" t="s">
        <v>85</v>
      </c>
      <c r="B7" s="81" t="s">
        <v>86</v>
      </c>
      <c r="C7" s="79"/>
      <c r="D7" s="114"/>
      <c r="E7" s="114"/>
      <c r="F7" s="114"/>
    </row>
    <row r="8" spans="1:6" ht="13.5">
      <c r="A8" s="79"/>
      <c r="B8" s="81"/>
      <c r="C8" s="79"/>
      <c r="D8" s="79"/>
      <c r="E8" s="79"/>
      <c r="F8" s="79"/>
    </row>
    <row r="9" spans="1:6" ht="13.5">
      <c r="A9" s="79"/>
      <c r="B9" s="79"/>
      <c r="C9" s="79"/>
      <c r="D9" s="79"/>
      <c r="E9" s="79"/>
      <c r="F9" s="79"/>
    </row>
    <row r="10" spans="1:6" ht="13.5">
      <c r="A10" s="79" t="s">
        <v>87</v>
      </c>
      <c r="B10" s="79"/>
      <c r="C10" s="79"/>
      <c r="D10" s="79"/>
      <c r="E10" s="79"/>
      <c r="F10" s="79"/>
    </row>
    <row r="11" spans="1:6" ht="13.5">
      <c r="A11" s="114" t="s">
        <v>88</v>
      </c>
      <c r="B11" s="114"/>
      <c r="C11" s="79"/>
      <c r="D11" s="79"/>
      <c r="E11" s="79"/>
      <c r="F11" s="82"/>
    </row>
    <row r="12" spans="1:6" ht="13.5">
      <c r="A12" s="79" t="s">
        <v>89</v>
      </c>
      <c r="B12" s="79" t="s">
        <v>90</v>
      </c>
      <c r="C12" s="79" t="s">
        <v>91</v>
      </c>
      <c r="D12" s="79" t="s">
        <v>92</v>
      </c>
      <c r="E12" s="79" t="s">
        <v>93</v>
      </c>
      <c r="F12" s="79" t="s">
        <v>94</v>
      </c>
    </row>
    <row r="13" spans="1:6" ht="13.5">
      <c r="A13" s="79">
        <v>90</v>
      </c>
      <c r="B13" s="79"/>
      <c r="C13" s="79"/>
      <c r="D13" s="79"/>
      <c r="E13" s="79"/>
      <c r="F13" s="79"/>
    </row>
    <row r="14" spans="1:6" ht="13.5">
      <c r="A14" s="79">
        <v>110</v>
      </c>
      <c r="B14" s="79"/>
      <c r="C14" s="79"/>
      <c r="D14" s="79"/>
      <c r="E14" s="79"/>
      <c r="F14" s="82"/>
    </row>
    <row r="15" spans="1:6" ht="13.5">
      <c r="A15" s="79">
        <v>220</v>
      </c>
      <c r="B15" s="82"/>
      <c r="C15" s="82"/>
      <c r="D15" s="82"/>
      <c r="E15" s="82"/>
      <c r="F15" s="82"/>
    </row>
    <row r="16" spans="1:6" ht="13.5">
      <c r="A16" s="79">
        <v>265</v>
      </c>
      <c r="B16" s="79"/>
      <c r="C16" s="79"/>
      <c r="D16" s="79"/>
      <c r="E16" s="79"/>
      <c r="F16" s="79"/>
    </row>
    <row r="17" spans="1:6" ht="13.5">
      <c r="A17" s="114" t="s">
        <v>95</v>
      </c>
      <c r="B17" s="114"/>
      <c r="C17" s="79"/>
      <c r="D17" s="79"/>
      <c r="E17" s="79"/>
      <c r="F17" s="79"/>
    </row>
    <row r="18" spans="1:6" ht="13.5">
      <c r="A18" s="79" t="s">
        <v>89</v>
      </c>
      <c r="B18" s="79" t="s">
        <v>90</v>
      </c>
      <c r="C18" s="79" t="s">
        <v>91</v>
      </c>
      <c r="D18" s="79" t="s">
        <v>92</v>
      </c>
      <c r="E18" s="79" t="s">
        <v>93</v>
      </c>
      <c r="F18" s="79" t="s">
        <v>94</v>
      </c>
    </row>
  </sheetData>
  <sheetProtection/>
  <mergeCells count="4">
    <mergeCell ref="E1:F1"/>
    <mergeCell ref="D7:F7"/>
    <mergeCell ref="A11:B1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lxp</cp:lastModifiedBy>
  <cp:lastPrinted>2011-10-08T04:57:33Z</cp:lastPrinted>
  <dcterms:created xsi:type="dcterms:W3CDTF">2011-05-30T05:25:26Z</dcterms:created>
  <dcterms:modified xsi:type="dcterms:W3CDTF">2012-02-11T01:16:29Z</dcterms:modified>
  <cp:category/>
  <cp:version/>
  <cp:contentType/>
  <cp:contentStatus/>
</cp:coreProperties>
</file>