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90" windowWidth="8505" windowHeight="4530" activeTab="0"/>
  </bookViews>
  <sheets>
    <sheet name="BUCK (42V, 420mA)" sheetId="1" r:id="rId1"/>
    <sheet name="BUCK (42V, 210mA)" sheetId="2" r:id="rId2"/>
    <sheet name="BUCK-BOOST" sheetId="3" r:id="rId3"/>
  </sheets>
  <definedNames>
    <definedName name="Ind" localSheetId="1">'BUCK (42V, 210mA)'!$B$22</definedName>
    <definedName name="Ind">'BUCK (42V, 420mA)'!$B$22</definedName>
    <definedName name="Io" localSheetId="1">'BUCK (42V, 210mA)'!$B$4</definedName>
    <definedName name="Io">'BUCK (42V, 420mA)'!$B$4</definedName>
    <definedName name="L" localSheetId="1">'BUCK (42V, 210mA)'!$B$22</definedName>
    <definedName name="L">'BUCK (42V, 420mA)'!$B$22</definedName>
    <definedName name="Rcs" localSheetId="1">'BUCK (42V, 210mA)'!$B$11</definedName>
    <definedName name="Rcs">'BUCK (42V, 420mA)'!$B$11</definedName>
    <definedName name="toff_H" localSheetId="1">'BUCK (42V, 210mA)'!$B$20</definedName>
    <definedName name="toff_H">'BUCK (42V, 420mA)'!$B$20</definedName>
    <definedName name="Vo" localSheetId="1">'BUCK (42V, 210mA)'!$B$3</definedName>
    <definedName name="Vo">'BUCK (42V, 420mA)'!$B$3</definedName>
    <definedName name="vref" localSheetId="1">'BUCK (42V, 210mA)'!$B$10</definedName>
    <definedName name="vref">'BUCK (42V, 420mA)'!$B$10</definedName>
  </definedNames>
  <calcPr fullCalcOnLoad="1"/>
</workbook>
</file>

<file path=xl/sharedStrings.xml><?xml version="1.0" encoding="utf-8"?>
<sst xmlns="http://schemas.openxmlformats.org/spreadsheetml/2006/main" count="372" uniqueCount="156">
  <si>
    <t>uH</t>
  </si>
  <si>
    <t>V</t>
  </si>
  <si>
    <t>A</t>
  </si>
  <si>
    <t>KHz</t>
  </si>
  <si>
    <t>=&gt;Input</t>
  </si>
  <si>
    <t>=&gt;Output</t>
  </si>
  <si>
    <t>=&gt;Calculator</t>
  </si>
  <si>
    <t>Min. AC input</t>
  </si>
  <si>
    <t>Lp</t>
  </si>
  <si>
    <t>uH</t>
  </si>
  <si>
    <t>Min. AC input</t>
  </si>
  <si>
    <t>Vout</t>
  </si>
  <si>
    <t>V</t>
  </si>
  <si>
    <t>Vac</t>
  </si>
  <si>
    <t>Vrms</t>
  </si>
  <si>
    <t>VD</t>
  </si>
  <si>
    <t>V</t>
  </si>
  <si>
    <t>Iac</t>
  </si>
  <si>
    <t>Arms</t>
  </si>
  <si>
    <t>Iout</t>
  </si>
  <si>
    <t>A</t>
  </si>
  <si>
    <t>Ics_peak</t>
  </si>
  <si>
    <t>A</t>
  </si>
  <si>
    <t>Turn Ratio</t>
  </si>
  <si>
    <t>Ratio</t>
  </si>
  <si>
    <t>=&gt;Suggest</t>
  </si>
  <si>
    <t>Duty</t>
  </si>
  <si>
    <t>Rcs</t>
  </si>
  <si>
    <t>ohm</t>
  </si>
  <si>
    <t>=&gt;Rcs Need fine tune</t>
  </si>
  <si>
    <t>On_time</t>
  </si>
  <si>
    <t>us</t>
  </si>
  <si>
    <t>Pout</t>
  </si>
  <si>
    <t>W</t>
  </si>
  <si>
    <t>Off_Time</t>
  </si>
  <si>
    <t>eff</t>
  </si>
  <si>
    <t>=&gt;Transformer efficiency, Suggest 90%</t>
  </si>
  <si>
    <t>Dead_Time</t>
  </si>
  <si>
    <t>Pin</t>
  </si>
  <si>
    <t>Fsw</t>
  </si>
  <si>
    <t>KHz</t>
  </si>
  <si>
    <t>Vcc</t>
  </si>
  <si>
    <t>Bmax</t>
  </si>
  <si>
    <t>Gauss</t>
  </si>
  <si>
    <t>=&gt;Suggest  under 3000 Gauss</t>
  </si>
  <si>
    <t>Ae</t>
  </si>
  <si>
    <t>cm2</t>
  </si>
  <si>
    <t>Np_1</t>
  </si>
  <si>
    <t>Turns</t>
  </si>
  <si>
    <t>Np</t>
  </si>
  <si>
    <t>Ns_1</t>
  </si>
  <si>
    <t>Ns</t>
  </si>
  <si>
    <t>Naux</t>
  </si>
  <si>
    <t>=&gt;Input</t>
  </si>
  <si>
    <t>=&gt;Output</t>
  </si>
  <si>
    <t>=&gt;Calculator</t>
  </si>
  <si>
    <t>AT7381, System Calculator for BUCK.</t>
  </si>
  <si>
    <t>AT7381, System Calculator for BUCK-BOOST.</t>
  </si>
  <si>
    <t>Vo</t>
  </si>
  <si>
    <t>Io</t>
  </si>
  <si>
    <t>Parameter</t>
  </si>
  <si>
    <t>Value</t>
  </si>
  <si>
    <t>Unit</t>
  </si>
  <si>
    <t>Rcs</t>
  </si>
  <si>
    <t>Ω</t>
  </si>
  <si>
    <t>ΔIL_max</t>
  </si>
  <si>
    <t>L_min</t>
  </si>
  <si>
    <t>freq_max</t>
  </si>
  <si>
    <t>us</t>
  </si>
  <si>
    <t>toff_min</t>
  </si>
  <si>
    <t>freq_designed</t>
  </si>
  <si>
    <t>KHz</t>
  </si>
  <si>
    <t>freq_min</t>
  </si>
  <si>
    <t>toff</t>
  </si>
  <si>
    <t>L</t>
  </si>
  <si>
    <r>
      <t xml:space="preserve">larger than </t>
    </r>
    <r>
      <rPr>
        <b/>
        <sz val="12"/>
        <rFont val="Arial Unicode MS"/>
        <family val="1"/>
      </rPr>
      <t>L_min</t>
    </r>
  </si>
  <si>
    <t>IL_limit</t>
  </si>
  <si>
    <t>KΩ</t>
  </si>
  <si>
    <t>RT_cal</t>
  </si>
  <si>
    <t>Normal AC Input</t>
  </si>
  <si>
    <t>Low-Line Condition</t>
  </si>
  <si>
    <t>Max. AC Input</t>
  </si>
  <si>
    <t>freq_peak</t>
  </si>
  <si>
    <t>IL_peak</t>
  </si>
  <si>
    <t>ton_peak</t>
  </si>
  <si>
    <t>toff</t>
  </si>
  <si>
    <t>High-Line Condition</t>
  </si>
  <si>
    <t>IL_sat</t>
  </si>
  <si>
    <t>Vo_min = 13V, Vo_max = 50V</t>
  </si>
  <si>
    <t>OVP</t>
  </si>
  <si>
    <t>VDD</t>
  </si>
  <si>
    <t>VZD_cal</t>
  </si>
  <si>
    <t>VZD_designed</t>
  </si>
  <si>
    <t>RT_designed</t>
  </si>
  <si>
    <r>
      <t xml:space="preserve">at 220Vac, between </t>
    </r>
    <r>
      <rPr>
        <b/>
        <sz val="12"/>
        <rFont val="Arial Unicode MS"/>
        <family val="1"/>
      </rPr>
      <t>freq_mi</t>
    </r>
    <r>
      <rPr>
        <sz val="12"/>
        <rFont val="Arial Unicode MS"/>
        <family val="1"/>
      </rPr>
      <t xml:space="preserve">n and </t>
    </r>
    <r>
      <rPr>
        <b/>
        <sz val="12"/>
        <rFont val="Arial Unicode MS"/>
        <family val="1"/>
      </rPr>
      <t>freq_max</t>
    </r>
    <r>
      <rPr>
        <sz val="12"/>
        <rFont val="Arial Unicode MS"/>
        <family val="1"/>
      </rPr>
      <t>.</t>
    </r>
  </si>
  <si>
    <t>OVP_cal</t>
  </si>
  <si>
    <t>( 220Vac )</t>
  </si>
  <si>
    <t>( 264Vac )</t>
  </si>
  <si>
    <t>as High-Line Condition</t>
  </si>
  <si>
    <t>Vref</t>
  </si>
  <si>
    <t>V</t>
  </si>
  <si>
    <t>AT7381, System Calculator for BUCK.</t>
  </si>
  <si>
    <t>Parameter</t>
  </si>
  <si>
    <t>Value</t>
  </si>
  <si>
    <t>Unit</t>
  </si>
  <si>
    <t>Low-Line Condition</t>
  </si>
  <si>
    <t>High-Line Condition</t>
  </si>
  <si>
    <t>Vo</t>
  </si>
  <si>
    <t>V</t>
  </si>
  <si>
    <t>Vo_min = 13V, Vo_max = 50V</t>
  </si>
  <si>
    <t>Min. AC input</t>
  </si>
  <si>
    <t>Io</t>
  </si>
  <si>
    <t>A</t>
  </si>
  <si>
    <t>Vac</t>
  </si>
  <si>
    <t>Vrms</t>
  </si>
  <si>
    <t>OVP</t>
  </si>
  <si>
    <t>IL_peak</t>
  </si>
  <si>
    <t>A</t>
  </si>
  <si>
    <t>VZD_cal</t>
  </si>
  <si>
    <t>=&gt;Input</t>
  </si>
  <si>
    <t>toff</t>
  </si>
  <si>
    <t>us</t>
  </si>
  <si>
    <t>VZD_designed</t>
  </si>
  <si>
    <t>=&gt;Output</t>
  </si>
  <si>
    <t>ton_peak</t>
  </si>
  <si>
    <t>VDD</t>
  </si>
  <si>
    <t>=&gt;Calculator</t>
  </si>
  <si>
    <t>freq_peak</t>
  </si>
  <si>
    <t>KHz</t>
  </si>
  <si>
    <t>OVP_cal</t>
  </si>
  <si>
    <t>Vref</t>
  </si>
  <si>
    <t>Normal AC Input</t>
  </si>
  <si>
    <t>Rcs</t>
  </si>
  <si>
    <t>Ω</t>
  </si>
  <si>
    <t>IL_limit</t>
  </si>
  <si>
    <t>ΔIL_max</t>
  </si>
  <si>
    <t>( 264Vac )</t>
  </si>
  <si>
    <t>toff_min</t>
  </si>
  <si>
    <t>us</t>
  </si>
  <si>
    <t>( 220Vac )</t>
  </si>
  <si>
    <t>freq_max</t>
  </si>
  <si>
    <t>KHz</t>
  </si>
  <si>
    <t>freq_min</t>
  </si>
  <si>
    <r>
      <t xml:space="preserve">at 220Vac, between </t>
    </r>
    <r>
      <rPr>
        <b/>
        <sz val="12"/>
        <rFont val="Arial Unicode MS"/>
        <family val="1"/>
      </rPr>
      <t>freq_mi</t>
    </r>
    <r>
      <rPr>
        <sz val="12"/>
        <rFont val="Arial Unicode MS"/>
        <family val="1"/>
      </rPr>
      <t xml:space="preserve">n and </t>
    </r>
    <r>
      <rPr>
        <b/>
        <sz val="12"/>
        <rFont val="Arial Unicode MS"/>
        <family val="1"/>
      </rPr>
      <t>freq_max</t>
    </r>
    <r>
      <rPr>
        <sz val="12"/>
        <rFont val="Arial Unicode MS"/>
        <family val="1"/>
      </rPr>
      <t>.</t>
    </r>
  </si>
  <si>
    <t>freq_designed</t>
  </si>
  <si>
    <t>Max. AC Input</t>
  </si>
  <si>
    <t>RT_cal</t>
  </si>
  <si>
    <t>KΩ</t>
  </si>
  <si>
    <t>RT_designed</t>
  </si>
  <si>
    <t>as High-Line Condition</t>
  </si>
  <si>
    <t>toff</t>
  </si>
  <si>
    <t>L_min</t>
  </si>
  <si>
    <t>uH</t>
  </si>
  <si>
    <r>
      <t xml:space="preserve">larger than </t>
    </r>
    <r>
      <rPr>
        <b/>
        <sz val="12"/>
        <rFont val="Arial Unicode MS"/>
        <family val="1"/>
      </rPr>
      <t>L_min</t>
    </r>
  </si>
  <si>
    <t>L</t>
  </si>
  <si>
    <t>IL_sat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</si>
</sst>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0000000_ "/>
    <numFmt numFmtId="177" formatCode="0.00000000_ "/>
    <numFmt numFmtId="178" formatCode="0.0000000_ "/>
    <numFmt numFmtId="179" formatCode="0.000000_ "/>
    <numFmt numFmtId="180" formatCode="0.00000_ "/>
    <numFmt numFmtId="181" formatCode="0.0000_ "/>
    <numFmt numFmtId="182" formatCode="0.000_ "/>
    <numFmt numFmtId="183" formatCode="0.00_ "/>
    <numFmt numFmtId="184" formatCode="0.0_ "/>
    <numFmt numFmtId="185" formatCode="0_ "/>
    <numFmt numFmtId="186" formatCode="[$-404]AM/PM\ hh:mm:ss"/>
  </numFmts>
  <fonts count="6">
    <font>
      <sz val="12"/>
      <name val="新細明體"/>
      <family val="1"/>
    </font>
    <font>
      <sz val="9"/>
      <name val="新細明體"/>
      <family val="1"/>
    </font>
    <font>
      <sz val="12"/>
      <name val="Arial Unicode MS"/>
      <family val="1"/>
    </font>
    <font>
      <b/>
      <sz val="16"/>
      <color indexed="12"/>
      <name val="Arial Unicode MS"/>
      <family val="1"/>
    </font>
    <font>
      <b/>
      <sz val="12"/>
      <name val="Arial Unicode MS"/>
      <family val="1"/>
    </font>
    <font>
      <b/>
      <sz val="12"/>
      <color indexed="12"/>
      <name val="Arial Unicode MS"/>
      <family val="1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 quotePrefix="1">
      <alignment horizontal="left" vertical="center"/>
    </xf>
    <xf numFmtId="182" fontId="2" fillId="3" borderId="0" xfId="0" applyNumberFormat="1" applyFont="1" applyFill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9" fontId="2" fillId="2" borderId="1" xfId="17" applyFont="1" applyFill="1" applyBorder="1" applyAlignment="1">
      <alignment horizontal="center" vertical="center"/>
    </xf>
    <xf numFmtId="0" fontId="2" fillId="3" borderId="1" xfId="17" applyNumberFormat="1" applyFont="1" applyFill="1" applyBorder="1" applyAlignment="1">
      <alignment horizontal="center" vertical="center"/>
    </xf>
    <xf numFmtId="182" fontId="2" fillId="3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Alignment="1" quotePrefix="1">
      <alignment horizontal="left"/>
    </xf>
    <xf numFmtId="0" fontId="2" fillId="4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2" fillId="0" borderId="0" xfId="0" applyFont="1" applyAlignment="1">
      <alignment/>
    </xf>
    <xf numFmtId="185" fontId="2" fillId="4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left" vertical="center"/>
    </xf>
    <xf numFmtId="182" fontId="2" fillId="3" borderId="1" xfId="0" applyNumberFormat="1" applyFont="1" applyFill="1" applyBorder="1" applyAlignment="1">
      <alignment horizontal="center" vertical="center"/>
    </xf>
    <xf numFmtId="184" fontId="2" fillId="3" borderId="1" xfId="0" applyNumberFormat="1" applyFont="1" applyFill="1" applyBorder="1" applyAlignment="1">
      <alignment horizontal="center" vertical="center"/>
    </xf>
    <xf numFmtId="184" fontId="2" fillId="2" borderId="1" xfId="0" applyNumberFormat="1" applyFont="1" applyFill="1" applyBorder="1" applyAlignment="1">
      <alignment horizontal="center" vertical="center"/>
    </xf>
    <xf numFmtId="185" fontId="2" fillId="3" borderId="1" xfId="0" applyNumberFormat="1" applyFont="1" applyFill="1" applyBorder="1" applyAlignment="1">
      <alignment horizontal="center" vertical="center"/>
    </xf>
    <xf numFmtId="182" fontId="2" fillId="0" borderId="1" xfId="0" applyNumberFormat="1" applyFont="1" applyBorder="1" applyAlignment="1">
      <alignment horizontal="center"/>
    </xf>
    <xf numFmtId="183" fontId="2" fillId="0" borderId="1" xfId="0" applyNumberFormat="1" applyFont="1" applyBorder="1" applyAlignment="1">
      <alignment horizontal="center"/>
    </xf>
    <xf numFmtId="182" fontId="2" fillId="4" borderId="1" xfId="0" applyNumberFormat="1" applyFont="1" applyFill="1" applyBorder="1" applyAlignment="1">
      <alignment horizontal="center" vertical="center"/>
    </xf>
    <xf numFmtId="182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indent="1"/>
    </xf>
    <xf numFmtId="0" fontId="5" fillId="0" borderId="0" xfId="0" applyFont="1" applyAlignment="1">
      <alignment horizontal="left" vertical="center"/>
    </xf>
    <xf numFmtId="0" fontId="2" fillId="0" borderId="0" xfId="0" applyFont="1" applyFill="1" applyAlignment="1">
      <alignment horizontal="center"/>
    </xf>
    <xf numFmtId="183" fontId="2" fillId="3" borderId="1" xfId="0" applyNumberFormat="1" applyFont="1" applyFill="1" applyBorder="1" applyAlignment="1">
      <alignment horizontal="center" vertical="center"/>
    </xf>
    <xf numFmtId="182" fontId="2" fillId="4" borderId="1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tabSelected="1" workbookViewId="0" topLeftCell="A8">
      <selection activeCell="E26" sqref="E26"/>
    </sheetView>
  </sheetViews>
  <sheetFormatPr defaultColWidth="9.00390625" defaultRowHeight="16.5"/>
  <cols>
    <col min="1" max="1" width="12.625" style="7" customWidth="1"/>
    <col min="2" max="7" width="10.625" style="7" customWidth="1"/>
    <col min="8" max="8" width="1.625" style="7" customWidth="1"/>
    <col min="9" max="11" width="10.625" style="7" customWidth="1"/>
    <col min="12" max="12" width="2.625" style="7" customWidth="1"/>
    <col min="13" max="15" width="10.625" style="7" customWidth="1"/>
    <col min="16" max="16" width="1.625" style="7" customWidth="1"/>
    <col min="17" max="16384" width="10.625" style="7" customWidth="1"/>
  </cols>
  <sheetData>
    <row r="1" spans="1:15" s="1" customFormat="1" ht="19.5" customHeight="1">
      <c r="A1" s="33" t="s">
        <v>56</v>
      </c>
      <c r="B1" s="23"/>
      <c r="C1" s="23"/>
      <c r="D1" s="23"/>
      <c r="E1" s="23"/>
      <c r="F1" s="23"/>
      <c r="I1" s="7"/>
      <c r="J1" s="7"/>
      <c r="K1" s="7"/>
      <c r="L1" s="7"/>
      <c r="M1" s="7"/>
      <c r="N1" s="7"/>
      <c r="O1" s="7"/>
    </row>
    <row r="2" spans="1:15" s="1" customFormat="1" ht="16.5">
      <c r="A2" s="2" t="s">
        <v>60</v>
      </c>
      <c r="B2" s="2" t="s">
        <v>61</v>
      </c>
      <c r="C2" s="2" t="s">
        <v>62</v>
      </c>
      <c r="D2" s="4"/>
      <c r="I2" s="37" t="s">
        <v>80</v>
      </c>
      <c r="J2" s="37"/>
      <c r="K2" s="37"/>
      <c r="M2" s="37" t="s">
        <v>86</v>
      </c>
      <c r="N2" s="37"/>
      <c r="O2" s="37"/>
    </row>
    <row r="3" spans="1:15" s="1" customFormat="1" ht="16.5">
      <c r="A3" s="2" t="s">
        <v>58</v>
      </c>
      <c r="B3" s="3">
        <v>42</v>
      </c>
      <c r="C3" s="2" t="s">
        <v>1</v>
      </c>
      <c r="D3" s="32" t="s">
        <v>88</v>
      </c>
      <c r="I3" s="38" t="s">
        <v>7</v>
      </c>
      <c r="J3" s="38"/>
      <c r="K3" s="38"/>
      <c r="M3" s="38" t="s">
        <v>7</v>
      </c>
      <c r="N3" s="38"/>
      <c r="O3" s="38"/>
    </row>
    <row r="4" spans="1:15" s="1" customFormat="1" ht="16.5">
      <c r="A4" s="2" t="s">
        <v>59</v>
      </c>
      <c r="B4" s="31">
        <v>0.42</v>
      </c>
      <c r="C4" s="2" t="s">
        <v>2</v>
      </c>
      <c r="D4" s="32"/>
      <c r="I4" s="2" t="s">
        <v>13</v>
      </c>
      <c r="J4" s="5">
        <v>90</v>
      </c>
      <c r="K4" s="6" t="s">
        <v>14</v>
      </c>
      <c r="M4" s="2" t="s">
        <v>13</v>
      </c>
      <c r="N4" s="5">
        <v>180</v>
      </c>
      <c r="O4" s="6" t="s">
        <v>14</v>
      </c>
    </row>
    <row r="5" spans="1:15" s="1" customFormat="1" ht="16.5">
      <c r="A5" s="2" t="s">
        <v>89</v>
      </c>
      <c r="B5" s="3">
        <v>48</v>
      </c>
      <c r="C5" s="2" t="s">
        <v>1</v>
      </c>
      <c r="D5" s="32"/>
      <c r="I5" s="6" t="s">
        <v>83</v>
      </c>
      <c r="J5" s="28">
        <f>((vref/Rcs)*PI())/(2*COS(ASIN(Vo/(J4*2^0.5))))+((Vo/Ind)*J6/2)</f>
        <v>1.0674310068207669</v>
      </c>
      <c r="K5" s="6" t="s">
        <v>22</v>
      </c>
      <c r="M5" s="6" t="s">
        <v>83</v>
      </c>
      <c r="N5" s="28">
        <f>((vref/Rcs)*PI())/(2*COS(ASIN(Vo/(N4*2^0.5))))+((Vo/Ind)*N6/2)</f>
        <v>1.184871772749028</v>
      </c>
      <c r="O5" s="6" t="s">
        <v>22</v>
      </c>
    </row>
    <row r="6" spans="1:15" s="1" customFormat="1" ht="16.5">
      <c r="A6" s="2" t="s">
        <v>91</v>
      </c>
      <c r="B6" s="25">
        <f>B5-28</f>
        <v>20</v>
      </c>
      <c r="C6" s="2" t="s">
        <v>1</v>
      </c>
      <c r="D6" s="32"/>
      <c r="E6" s="17"/>
      <c r="F6" s="18" t="s">
        <v>4</v>
      </c>
      <c r="I6" s="6" t="s">
        <v>85</v>
      </c>
      <c r="J6" s="29">
        <f>IF(J4&gt;150,toff_H,toff_H/1.4)</f>
        <v>11.934000000000003</v>
      </c>
      <c r="K6" s="6" t="s">
        <v>31</v>
      </c>
      <c r="M6" s="6" t="s">
        <v>85</v>
      </c>
      <c r="N6" s="29">
        <f>IF(N4&gt;150,toff_H,toff_H/1.4)</f>
        <v>16.707600000000003</v>
      </c>
      <c r="O6" s="6" t="s">
        <v>31</v>
      </c>
    </row>
    <row r="7" spans="1:15" s="1" customFormat="1" ht="16.5">
      <c r="A7" s="2" t="s">
        <v>92</v>
      </c>
      <c r="B7" s="26">
        <v>20</v>
      </c>
      <c r="C7" s="2" t="s">
        <v>1</v>
      </c>
      <c r="D7" s="32"/>
      <c r="E7" s="19"/>
      <c r="F7" s="18" t="s">
        <v>5</v>
      </c>
      <c r="I7" s="6" t="s">
        <v>84</v>
      </c>
      <c r="J7" s="29">
        <f>J6*(Vo/(J4*2^0.5+Vo))/(1-(Vo/(J4*2^0.5+Vo)))</f>
        <v>3.9380190857841217</v>
      </c>
      <c r="K7" s="6" t="s">
        <v>31</v>
      </c>
      <c r="M7" s="6" t="s">
        <v>84</v>
      </c>
      <c r="N7" s="29">
        <f>N6*(Vo/(N4*2^0.5+Vo))/(1-(Vo/(N4*2^0.5+Vo)))</f>
        <v>2.756613360048885</v>
      </c>
      <c r="O7" s="6" t="s">
        <v>31</v>
      </c>
    </row>
    <row r="8" spans="1:15" s="1" customFormat="1" ht="16.5">
      <c r="A8" s="2" t="s">
        <v>90</v>
      </c>
      <c r="B8" s="12">
        <f>Vo-B7</f>
        <v>22</v>
      </c>
      <c r="C8" s="2" t="s">
        <v>1</v>
      </c>
      <c r="D8" s="32"/>
      <c r="E8" s="20"/>
      <c r="F8" s="18" t="s">
        <v>6</v>
      </c>
      <c r="I8" s="2" t="s">
        <v>82</v>
      </c>
      <c r="J8" s="29">
        <f>1/(J7+J6)*1000</f>
        <v>63.0039564969813</v>
      </c>
      <c r="K8" s="6" t="s">
        <v>3</v>
      </c>
      <c r="M8" s="2" t="s">
        <v>82</v>
      </c>
      <c r="N8" s="29">
        <f>1/(N7+N6)*1000</f>
        <v>51.37633776932089</v>
      </c>
      <c r="O8" s="6" t="s">
        <v>3</v>
      </c>
    </row>
    <row r="9" spans="1:6" s="1" customFormat="1" ht="16.5">
      <c r="A9" s="2" t="s">
        <v>95</v>
      </c>
      <c r="B9" s="25">
        <f>B7+28</f>
        <v>48</v>
      </c>
      <c r="C9" s="2" t="s">
        <v>1</v>
      </c>
      <c r="D9" s="32"/>
      <c r="E9" s="34"/>
      <c r="F9" s="18"/>
    </row>
    <row r="10" spans="1:15" s="1" customFormat="1" ht="16.5">
      <c r="A10" s="2" t="s">
        <v>99</v>
      </c>
      <c r="B10" s="35">
        <v>0.2</v>
      </c>
      <c r="C10" s="2" t="s">
        <v>100</v>
      </c>
      <c r="D10" s="32"/>
      <c r="I10" s="38" t="s">
        <v>79</v>
      </c>
      <c r="J10" s="38"/>
      <c r="K10" s="38"/>
      <c r="M10" s="38" t="s">
        <v>79</v>
      </c>
      <c r="N10" s="38"/>
      <c r="O10" s="38"/>
    </row>
    <row r="11" spans="1:15" s="1" customFormat="1" ht="16.5">
      <c r="A11" s="2" t="s">
        <v>63</v>
      </c>
      <c r="B11" s="30">
        <f>vref/B4</f>
        <v>0.4761904761904762</v>
      </c>
      <c r="C11" s="2" t="s">
        <v>64</v>
      </c>
      <c r="D11" s="32"/>
      <c r="I11" s="2" t="s">
        <v>13</v>
      </c>
      <c r="J11" s="5">
        <v>115</v>
      </c>
      <c r="K11" s="6" t="s">
        <v>14</v>
      </c>
      <c r="M11" s="2" t="s">
        <v>13</v>
      </c>
      <c r="N11" s="5">
        <v>230</v>
      </c>
      <c r="O11" s="6" t="s">
        <v>14</v>
      </c>
    </row>
    <row r="12" spans="1:15" s="1" customFormat="1" ht="16.5">
      <c r="A12" s="2" t="s">
        <v>76</v>
      </c>
      <c r="B12" s="24">
        <f>0.8/B11</f>
        <v>1.68</v>
      </c>
      <c r="C12" s="2" t="s">
        <v>2</v>
      </c>
      <c r="D12" s="32"/>
      <c r="I12" s="6" t="s">
        <v>83</v>
      </c>
      <c r="J12" s="28">
        <f>((vref/Rcs)*PI())/(2*COS(ASIN(Vo/(J11*2^0.5))))+((Vo/Ind)*J13/2)</f>
        <v>1.0514492618477187</v>
      </c>
      <c r="K12" s="6" t="s">
        <v>22</v>
      </c>
      <c r="M12" s="6" t="s">
        <v>83</v>
      </c>
      <c r="N12" s="28">
        <f>((vref/Rcs)*PI())/(2*COS(ASIN(Vo/(N11*2^0.5))))+((Vo/Ind)*N13/2)</f>
        <v>1.1812740669820654</v>
      </c>
      <c r="O12" s="6" t="s">
        <v>22</v>
      </c>
    </row>
    <row r="13" spans="1:15" s="1" customFormat="1" ht="16.5">
      <c r="A13" s="2" t="s">
        <v>65</v>
      </c>
      <c r="B13" s="24">
        <f>IF((((vref*PI())/(2*COS(ASIN(B3/(200*2^0.5))))/B11)&gt;(B12-((vref*PI())/(2*COS(ASIN(B3/(200*2^0.5))))/B11))),(B12-((vref*PI())/(2*COS(ASIN(B3/(200*2^0.5))))/B11))*2,((vref*PI())/(2*COS(ASIN(B3/(200*2^0.5))))/B11)*0.9*2)</f>
        <v>1.2008350262245993</v>
      </c>
      <c r="C13" s="2" t="s">
        <v>2</v>
      </c>
      <c r="D13" s="32" t="s">
        <v>97</v>
      </c>
      <c r="I13" s="6" t="s">
        <v>85</v>
      </c>
      <c r="J13" s="29">
        <f>IF(J11&gt;150,toff_H,toff_H/1.4)</f>
        <v>11.934000000000003</v>
      </c>
      <c r="K13" s="6" t="s">
        <v>31</v>
      </c>
      <c r="M13" s="6" t="s">
        <v>85</v>
      </c>
      <c r="N13" s="29">
        <f>IF(N11&gt;150,toff_H,toff_H/1.4)</f>
        <v>16.707600000000003</v>
      </c>
      <c r="O13" s="6" t="s">
        <v>31</v>
      </c>
    </row>
    <row r="14" spans="1:15" s="1" customFormat="1" ht="16.5">
      <c r="A14" s="2" t="s">
        <v>69</v>
      </c>
      <c r="B14" s="25">
        <f>(((B3+(264*2^0.5))*10^-6)/B3*10^6)*(1-(B3/(B3+(264*2^0.5))))</f>
        <v>8.889342392059454</v>
      </c>
      <c r="C14" s="2" t="s">
        <v>68</v>
      </c>
      <c r="D14" s="32" t="s">
        <v>96</v>
      </c>
      <c r="I14" s="6" t="s">
        <v>84</v>
      </c>
      <c r="J14" s="29">
        <f>J13*(Vo/(J11*2^0.5+Vo))/(1-(Vo/(J11*2^0.5+Vo)))</f>
        <v>3.081927980178878</v>
      </c>
      <c r="K14" s="6" t="s">
        <v>31</v>
      </c>
      <c r="M14" s="6" t="s">
        <v>84</v>
      </c>
      <c r="N14" s="29">
        <f>N13*(Vo/(N11*2^0.5+Vo))/(1-(Vo/(N11*2^0.5+Vo)))</f>
        <v>2.1573495861252145</v>
      </c>
      <c r="O14" s="6" t="s">
        <v>31</v>
      </c>
    </row>
    <row r="15" spans="1:15" s="1" customFormat="1" ht="16.5">
      <c r="A15" s="2" t="s">
        <v>67</v>
      </c>
      <c r="B15" s="25">
        <f>(1-(B3/(220*2^0.5+B3)))/B14*1000</f>
        <v>99.1144874602554</v>
      </c>
      <c r="C15" s="2" t="s">
        <v>71</v>
      </c>
      <c r="D15" s="32" t="s">
        <v>96</v>
      </c>
      <c r="I15" s="2" t="s">
        <v>82</v>
      </c>
      <c r="J15" s="29">
        <f>1/(J14+J13)*1000</f>
        <v>66.5959507344472</v>
      </c>
      <c r="K15" s="6" t="s">
        <v>3</v>
      </c>
      <c r="M15" s="2" t="s">
        <v>82</v>
      </c>
      <c r="N15" s="29">
        <f>1/(N14+N13)*1000</f>
        <v>53.00835793038532</v>
      </c>
      <c r="O15" s="6" t="s">
        <v>3</v>
      </c>
    </row>
    <row r="16" spans="1:15" s="1" customFormat="1" ht="16.5">
      <c r="A16" s="2" t="s">
        <v>72</v>
      </c>
      <c r="B16" s="25">
        <f>(1-(B3/(85*2^0.5+B3)))/40*1000</f>
        <v>18.526835847249032</v>
      </c>
      <c r="C16" s="2" t="s">
        <v>71</v>
      </c>
      <c r="D16" s="32" t="s">
        <v>94</v>
      </c>
      <c r="I16" s="7"/>
      <c r="J16" s="7"/>
      <c r="K16" s="7"/>
      <c r="M16" s="7"/>
      <c r="N16" s="7"/>
      <c r="O16" s="7"/>
    </row>
    <row r="17" spans="1:15" s="1" customFormat="1" ht="16.5">
      <c r="A17" s="2" t="s">
        <v>70</v>
      </c>
      <c r="B17" s="26">
        <v>60</v>
      </c>
      <c r="C17" s="2" t="s">
        <v>71</v>
      </c>
      <c r="D17" s="32"/>
      <c r="I17" s="38" t="s">
        <v>81</v>
      </c>
      <c r="J17" s="38"/>
      <c r="K17" s="38"/>
      <c r="M17" s="38" t="s">
        <v>81</v>
      </c>
      <c r="N17" s="38"/>
      <c r="O17" s="38"/>
    </row>
    <row r="18" spans="1:15" s="1" customFormat="1" ht="16.5">
      <c r="A18" s="2" t="s">
        <v>78</v>
      </c>
      <c r="B18" s="25">
        <f>(((1-(Vo/(220*2^0.5+Vo)))/(B17*10^3)*10^6/21.42)*50)</f>
        <v>34.27725704356106</v>
      </c>
      <c r="C18" s="2" t="s">
        <v>77</v>
      </c>
      <c r="D18" s="32"/>
      <c r="I18" s="2" t="s">
        <v>13</v>
      </c>
      <c r="J18" s="5">
        <v>135</v>
      </c>
      <c r="K18" s="6" t="s">
        <v>14</v>
      </c>
      <c r="M18" s="2" t="s">
        <v>13</v>
      </c>
      <c r="N18" s="5">
        <v>264</v>
      </c>
      <c r="O18" s="6" t="s">
        <v>14</v>
      </c>
    </row>
    <row r="19" spans="1:15" s="1" customFormat="1" ht="16.5">
      <c r="A19" s="2" t="s">
        <v>93</v>
      </c>
      <c r="B19" s="26">
        <v>39</v>
      </c>
      <c r="C19" s="2" t="s">
        <v>77</v>
      </c>
      <c r="D19" s="32" t="s">
        <v>98</v>
      </c>
      <c r="I19" s="6" t="s">
        <v>83</v>
      </c>
      <c r="J19" s="28">
        <f>((vref/Rcs)*PI())/(2*COS(ASIN(Vo/(J18*2^0.5))))+((Vo/Ind)*J20/2)</f>
        <v>1.044852236899163</v>
      </c>
      <c r="K19" s="6" t="s">
        <v>22</v>
      </c>
      <c r="M19" s="6" t="s">
        <v>83</v>
      </c>
      <c r="N19" s="28">
        <f>((vref/Rcs)*PI())/(2*COS(ASIN(Vo/(N18*2^0.5))))+((Vo/Ind)*N20/2)</f>
        <v>1.1799189565904875</v>
      </c>
      <c r="O19" s="6" t="s">
        <v>22</v>
      </c>
    </row>
    <row r="20" spans="1:15" ht="16.5">
      <c r="A20" s="2" t="s">
        <v>73</v>
      </c>
      <c r="B20" s="25">
        <f>(B19/50)*21.42</f>
        <v>16.707600000000003</v>
      </c>
      <c r="C20" s="2" t="s">
        <v>68</v>
      </c>
      <c r="D20" s="32"/>
      <c r="E20" s="1"/>
      <c r="F20" s="1"/>
      <c r="I20" s="6" t="s">
        <v>85</v>
      </c>
      <c r="J20" s="29">
        <f>IF(J18&gt;150,toff_H,toff_H/1.4)</f>
        <v>11.934000000000003</v>
      </c>
      <c r="K20" s="6" t="s">
        <v>31</v>
      </c>
      <c r="L20" s="1"/>
      <c r="M20" s="6" t="s">
        <v>85</v>
      </c>
      <c r="N20" s="29">
        <f>IF(N18&gt;150,toff_H,toff_H/1.4)</f>
        <v>16.707600000000003</v>
      </c>
      <c r="O20" s="6" t="s">
        <v>31</v>
      </c>
    </row>
    <row r="21" spans="1:15" ht="16.5">
      <c r="A21" s="2" t="s">
        <v>66</v>
      </c>
      <c r="B21" s="27">
        <f>B3*toff_H/B13</f>
        <v>584.359370500868</v>
      </c>
      <c r="C21" s="2" t="s">
        <v>0</v>
      </c>
      <c r="D21" s="32" t="s">
        <v>75</v>
      </c>
      <c r="E21" s="1"/>
      <c r="F21" s="1"/>
      <c r="I21" s="6" t="s">
        <v>84</v>
      </c>
      <c r="J21" s="29">
        <f>J20*(Vo/(J18*2^0.5+Vo))/(1-(Vo/(J18*2^0.5+Vo)))</f>
        <v>2.625346057189414</v>
      </c>
      <c r="K21" s="6" t="s">
        <v>31</v>
      </c>
      <c r="M21" s="6" t="s">
        <v>84</v>
      </c>
      <c r="N21" s="29">
        <f>N20*(Vo/(N18*2^0.5+Vo))/(1-(Vo/(N18*2^0.5+Vo)))</f>
        <v>1.8795091091242395</v>
      </c>
      <c r="O21" s="6" t="s">
        <v>31</v>
      </c>
    </row>
    <row r="22" spans="1:15" ht="16.5">
      <c r="A22" s="2" t="s">
        <v>74</v>
      </c>
      <c r="B22" s="3">
        <v>680</v>
      </c>
      <c r="C22" s="2" t="s">
        <v>0</v>
      </c>
      <c r="D22" s="32"/>
      <c r="E22" s="1"/>
      <c r="F22" s="1"/>
      <c r="I22" s="2" t="s">
        <v>82</v>
      </c>
      <c r="J22" s="29">
        <f>1/(J21+J20)*1000</f>
        <v>68.68440354889422</v>
      </c>
      <c r="K22" s="6" t="s">
        <v>3</v>
      </c>
      <c r="M22" s="2" t="s">
        <v>82</v>
      </c>
      <c r="N22" s="29">
        <f>1/(N21+N20)*1000</f>
        <v>53.800727920035136</v>
      </c>
      <c r="O22" s="6" t="s">
        <v>3</v>
      </c>
    </row>
    <row r="23" spans="1:3" ht="16.5">
      <c r="A23" s="2" t="s">
        <v>87</v>
      </c>
      <c r="B23" s="36">
        <f>(((vref/Rcs)*PI())/(2*COS(ASIN(Vo/(180*2^0.5))))+((Vo/Ind)*toff_H/2))*1.25</f>
        <v>1.4810897159362852</v>
      </c>
      <c r="C23" s="2" t="s">
        <v>2</v>
      </c>
    </row>
    <row r="24" ht="16.5">
      <c r="H24" s="21"/>
    </row>
  </sheetData>
  <mergeCells count="8">
    <mergeCell ref="I3:K3"/>
    <mergeCell ref="I10:K10"/>
    <mergeCell ref="I2:K2"/>
    <mergeCell ref="I17:K17"/>
    <mergeCell ref="M2:O2"/>
    <mergeCell ref="M3:O3"/>
    <mergeCell ref="M10:O10"/>
    <mergeCell ref="M17:O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"/>
  <sheetViews>
    <sheetView workbookViewId="0" topLeftCell="A1">
      <selection activeCell="B23" sqref="B23"/>
    </sheetView>
  </sheetViews>
  <sheetFormatPr defaultColWidth="9.00390625" defaultRowHeight="16.5"/>
  <cols>
    <col min="1" max="1" width="12.625" style="7" customWidth="1"/>
    <col min="2" max="7" width="10.625" style="7" customWidth="1"/>
    <col min="8" max="8" width="1.625" style="7" customWidth="1"/>
    <col min="9" max="11" width="10.625" style="7" customWidth="1"/>
    <col min="12" max="12" width="2.625" style="7" customWidth="1"/>
    <col min="13" max="15" width="10.625" style="7" customWidth="1"/>
    <col min="16" max="16" width="1.625" style="7" customWidth="1"/>
    <col min="17" max="16384" width="10.625" style="7" customWidth="1"/>
  </cols>
  <sheetData>
    <row r="1" spans="1:15" s="1" customFormat="1" ht="19.5" customHeight="1">
      <c r="A1" s="33" t="s">
        <v>101</v>
      </c>
      <c r="B1" s="23"/>
      <c r="C1" s="23"/>
      <c r="D1" s="23"/>
      <c r="E1" s="23"/>
      <c r="F1" s="23"/>
      <c r="I1" s="7"/>
      <c r="J1" s="7"/>
      <c r="K1" s="7"/>
      <c r="L1" s="7"/>
      <c r="M1" s="7"/>
      <c r="N1" s="7"/>
      <c r="O1" s="7"/>
    </row>
    <row r="2" spans="1:15" s="1" customFormat="1" ht="16.5">
      <c r="A2" s="2" t="s">
        <v>102</v>
      </c>
      <c r="B2" s="2" t="s">
        <v>103</v>
      </c>
      <c r="C2" s="2" t="s">
        <v>104</v>
      </c>
      <c r="D2" s="4"/>
      <c r="I2" s="37" t="s">
        <v>105</v>
      </c>
      <c r="J2" s="37"/>
      <c r="K2" s="37"/>
      <c r="M2" s="37" t="s">
        <v>106</v>
      </c>
      <c r="N2" s="37"/>
      <c r="O2" s="37"/>
    </row>
    <row r="3" spans="1:15" s="1" customFormat="1" ht="16.5">
      <c r="A3" s="2" t="s">
        <v>107</v>
      </c>
      <c r="B3" s="3">
        <v>42</v>
      </c>
      <c r="C3" s="2" t="s">
        <v>108</v>
      </c>
      <c r="D3" s="32" t="s">
        <v>109</v>
      </c>
      <c r="I3" s="38" t="s">
        <v>110</v>
      </c>
      <c r="J3" s="38"/>
      <c r="K3" s="38"/>
      <c r="M3" s="38" t="s">
        <v>110</v>
      </c>
      <c r="N3" s="38"/>
      <c r="O3" s="38"/>
    </row>
    <row r="4" spans="1:15" s="1" customFormat="1" ht="16.5">
      <c r="A4" s="2" t="s">
        <v>111</v>
      </c>
      <c r="B4" s="31">
        <v>0.21</v>
      </c>
      <c r="C4" s="2" t="s">
        <v>112</v>
      </c>
      <c r="D4" s="32"/>
      <c r="I4" s="2" t="s">
        <v>113</v>
      </c>
      <c r="J4" s="5">
        <v>90</v>
      </c>
      <c r="K4" s="6" t="s">
        <v>114</v>
      </c>
      <c r="M4" s="2" t="s">
        <v>113</v>
      </c>
      <c r="N4" s="5">
        <v>180</v>
      </c>
      <c r="O4" s="6" t="s">
        <v>114</v>
      </c>
    </row>
    <row r="5" spans="1:15" s="1" customFormat="1" ht="16.5">
      <c r="A5" s="2" t="s">
        <v>115</v>
      </c>
      <c r="B5" s="3">
        <v>48</v>
      </c>
      <c r="C5" s="2" t="s">
        <v>108</v>
      </c>
      <c r="D5" s="32"/>
      <c r="I5" s="6" t="s">
        <v>116</v>
      </c>
      <c r="J5" s="28">
        <f>((vref/Rcs)*PI())/(2*COS(ASIN(Vo/(J4*2^0.5))))+((Vo/Ind)*J6/2)</f>
        <v>0.5614985034103834</v>
      </c>
      <c r="K5" s="6" t="s">
        <v>117</v>
      </c>
      <c r="M5" s="6" t="s">
        <v>116</v>
      </c>
      <c r="N5" s="28">
        <f>((vref/Rcs)*PI())/(2*COS(ASIN(Vo/(N4*2^0.5))))+((Vo/Ind)*N6/2)</f>
        <v>0.631332086374514</v>
      </c>
      <c r="O5" s="6" t="s">
        <v>117</v>
      </c>
    </row>
    <row r="6" spans="1:15" s="1" customFormat="1" ht="16.5">
      <c r="A6" s="2" t="s">
        <v>118</v>
      </c>
      <c r="B6" s="25">
        <f>B5-28</f>
        <v>20</v>
      </c>
      <c r="C6" s="2" t="s">
        <v>108</v>
      </c>
      <c r="D6" s="32"/>
      <c r="E6" s="17"/>
      <c r="F6" s="18" t="s">
        <v>119</v>
      </c>
      <c r="I6" s="6" t="s">
        <v>120</v>
      </c>
      <c r="J6" s="29">
        <f>IF(J4&gt;150,toff_H,toff_H/1.4)</f>
        <v>10.098000000000003</v>
      </c>
      <c r="K6" s="6" t="s">
        <v>121</v>
      </c>
      <c r="M6" s="6" t="s">
        <v>120</v>
      </c>
      <c r="N6" s="29">
        <f>IF(N4&gt;150,toff_H,toff_H/1.4)</f>
        <v>14.137200000000002</v>
      </c>
      <c r="O6" s="6" t="s">
        <v>121</v>
      </c>
    </row>
    <row r="7" spans="1:15" s="1" customFormat="1" ht="16.5">
      <c r="A7" s="2" t="s">
        <v>122</v>
      </c>
      <c r="B7" s="26">
        <v>20</v>
      </c>
      <c r="C7" s="2" t="s">
        <v>108</v>
      </c>
      <c r="D7" s="32"/>
      <c r="E7" s="19"/>
      <c r="F7" s="18" t="s">
        <v>123</v>
      </c>
      <c r="I7" s="6" t="s">
        <v>124</v>
      </c>
      <c r="J7" s="29">
        <f>J6*(Vo/(J4*2^0.5+Vo))/(1-(Vo/(J4*2^0.5+Vo)))</f>
        <v>3.332169995663487</v>
      </c>
      <c r="K7" s="6" t="s">
        <v>121</v>
      </c>
      <c r="M7" s="6" t="s">
        <v>124</v>
      </c>
      <c r="N7" s="29">
        <f>N6*(Vo/(N4*2^0.5+Vo))/(1-(Vo/(N4*2^0.5+Vo)))</f>
        <v>2.332518996964441</v>
      </c>
      <c r="O7" s="6" t="s">
        <v>121</v>
      </c>
    </row>
    <row r="8" spans="1:15" s="1" customFormat="1" ht="16.5">
      <c r="A8" s="2" t="s">
        <v>125</v>
      </c>
      <c r="B8" s="12">
        <f>Vo-B7</f>
        <v>22</v>
      </c>
      <c r="C8" s="2" t="s">
        <v>108</v>
      </c>
      <c r="D8" s="32"/>
      <c r="E8" s="20"/>
      <c r="F8" s="18" t="s">
        <v>126</v>
      </c>
      <c r="I8" s="2" t="s">
        <v>127</v>
      </c>
      <c r="J8" s="29">
        <f>1/(J7+J6)*1000</f>
        <v>74.45922131461427</v>
      </c>
      <c r="K8" s="6" t="s">
        <v>128</v>
      </c>
      <c r="M8" s="2" t="s">
        <v>127</v>
      </c>
      <c r="N8" s="29">
        <f>1/(N7+N6)*1000</f>
        <v>60.717490091015605</v>
      </c>
      <c r="O8" s="6" t="s">
        <v>128</v>
      </c>
    </row>
    <row r="9" spans="1:6" s="1" customFormat="1" ht="16.5">
      <c r="A9" s="2" t="s">
        <v>129</v>
      </c>
      <c r="B9" s="25">
        <f>B7+28</f>
        <v>48</v>
      </c>
      <c r="C9" s="2" t="s">
        <v>108</v>
      </c>
      <c r="D9" s="32"/>
      <c r="E9" s="34"/>
      <c r="F9" s="18"/>
    </row>
    <row r="10" spans="1:15" s="1" customFormat="1" ht="16.5">
      <c r="A10" s="2" t="s">
        <v>130</v>
      </c>
      <c r="B10" s="35">
        <v>0.2</v>
      </c>
      <c r="C10" s="2" t="s">
        <v>108</v>
      </c>
      <c r="D10" s="32"/>
      <c r="I10" s="38" t="s">
        <v>131</v>
      </c>
      <c r="J10" s="38"/>
      <c r="K10" s="38"/>
      <c r="M10" s="38" t="s">
        <v>131</v>
      </c>
      <c r="N10" s="38"/>
      <c r="O10" s="38"/>
    </row>
    <row r="11" spans="1:15" s="1" customFormat="1" ht="16.5">
      <c r="A11" s="2" t="s">
        <v>132</v>
      </c>
      <c r="B11" s="30">
        <f>vref/B4</f>
        <v>0.9523809523809524</v>
      </c>
      <c r="C11" s="2" t="s">
        <v>133</v>
      </c>
      <c r="D11" s="32"/>
      <c r="I11" s="2" t="s">
        <v>113</v>
      </c>
      <c r="J11" s="5">
        <v>115</v>
      </c>
      <c r="K11" s="6" t="s">
        <v>114</v>
      </c>
      <c r="M11" s="2" t="s">
        <v>113</v>
      </c>
      <c r="N11" s="5">
        <v>230</v>
      </c>
      <c r="O11" s="6" t="s">
        <v>114</v>
      </c>
    </row>
    <row r="12" spans="1:15" s="1" customFormat="1" ht="16.5">
      <c r="A12" s="2" t="s">
        <v>134</v>
      </c>
      <c r="B12" s="24">
        <f>0.8/B11</f>
        <v>0.84</v>
      </c>
      <c r="C12" s="2" t="s">
        <v>112</v>
      </c>
      <c r="D12" s="32"/>
      <c r="I12" s="6" t="s">
        <v>116</v>
      </c>
      <c r="J12" s="28">
        <f>((vref/Rcs)*PI())/(2*COS(ASIN(Vo/(J11*2^0.5))))+((Vo/Ind)*J13/2)</f>
        <v>0.5535076309238594</v>
      </c>
      <c r="K12" s="6" t="s">
        <v>117</v>
      </c>
      <c r="M12" s="6" t="s">
        <v>116</v>
      </c>
      <c r="N12" s="28">
        <f>((vref/Rcs)*PI())/(2*COS(ASIN(Vo/(N11*2^0.5))))+((Vo/Ind)*N13/2)</f>
        <v>0.6295332334910327</v>
      </c>
      <c r="O12" s="6" t="s">
        <v>117</v>
      </c>
    </row>
    <row r="13" spans="1:15" s="1" customFormat="1" ht="16.5">
      <c r="A13" s="2" t="s">
        <v>135</v>
      </c>
      <c r="B13" s="24">
        <f>IF((((vref*PI())/(2*COS(ASIN(B3/(200*2^0.5))))/B11)&gt;(B12-((vref*PI())/(2*COS(ASIN(B3/(200*2^0.5))))/B11))),(B12-((vref*PI())/(2*COS(ASIN(B3/(200*2^0.5))))/B11))*2,((vref*PI())/(2*COS(ASIN(B3/(200*2^0.5))))/B11)*0.9*2)</f>
        <v>0.6004175131122996</v>
      </c>
      <c r="C13" s="2" t="s">
        <v>112</v>
      </c>
      <c r="D13" s="32" t="s">
        <v>136</v>
      </c>
      <c r="I13" s="6" t="s">
        <v>120</v>
      </c>
      <c r="J13" s="29">
        <f>IF(J11&gt;150,toff_H,toff_H/1.4)</f>
        <v>10.098000000000003</v>
      </c>
      <c r="K13" s="6" t="s">
        <v>121</v>
      </c>
      <c r="M13" s="6" t="s">
        <v>120</v>
      </c>
      <c r="N13" s="29">
        <f>IF(N11&gt;150,toff_H,toff_H/1.4)</f>
        <v>14.137200000000002</v>
      </c>
      <c r="O13" s="6" t="s">
        <v>121</v>
      </c>
    </row>
    <row r="14" spans="1:15" s="1" customFormat="1" ht="16.5">
      <c r="A14" s="2" t="s">
        <v>137</v>
      </c>
      <c r="B14" s="25">
        <f>(((B3+(264*2^0.5))*10^-6)/B3*10^6)*(1-(B3/(B3+(264*2^0.5))))</f>
        <v>8.889342392059454</v>
      </c>
      <c r="C14" s="2" t="s">
        <v>138</v>
      </c>
      <c r="D14" s="32" t="s">
        <v>139</v>
      </c>
      <c r="I14" s="6" t="s">
        <v>124</v>
      </c>
      <c r="J14" s="29">
        <f>J13*(Vo/(J11*2^0.5+Vo))/(1-(Vo/(J11*2^0.5+Vo)))</f>
        <v>2.607785213997512</v>
      </c>
      <c r="K14" s="6" t="s">
        <v>121</v>
      </c>
      <c r="M14" s="6" t="s">
        <v>124</v>
      </c>
      <c r="N14" s="29">
        <f>N13*(Vo/(N11*2^0.5+Vo))/(1-(Vo/(N11*2^0.5+Vo)))</f>
        <v>1.8254496497982582</v>
      </c>
      <c r="O14" s="6" t="s">
        <v>121</v>
      </c>
    </row>
    <row r="15" spans="1:15" s="1" customFormat="1" ht="16.5">
      <c r="A15" s="2" t="s">
        <v>140</v>
      </c>
      <c r="B15" s="25">
        <f>(1-(B3/(220*2^0.5+B3)))/B14*1000</f>
        <v>99.1144874602554</v>
      </c>
      <c r="C15" s="2" t="s">
        <v>141</v>
      </c>
      <c r="D15" s="32" t="s">
        <v>139</v>
      </c>
      <c r="I15" s="2" t="s">
        <v>127</v>
      </c>
      <c r="J15" s="29">
        <f>1/(J14+J13)*1000</f>
        <v>78.7043054134376</v>
      </c>
      <c r="K15" s="6" t="s">
        <v>128</v>
      </c>
      <c r="M15" s="2" t="s">
        <v>127</v>
      </c>
      <c r="N15" s="29">
        <f>1/(N14+N13)*1000</f>
        <v>62.64624119045538</v>
      </c>
      <c r="O15" s="6" t="s">
        <v>128</v>
      </c>
    </row>
    <row r="16" spans="1:15" s="1" customFormat="1" ht="16.5">
      <c r="A16" s="2" t="s">
        <v>142</v>
      </c>
      <c r="B16" s="25">
        <f>(1-(B3/(85*2^0.5+B3)))/40*1000</f>
        <v>18.526835847249032</v>
      </c>
      <c r="C16" s="2" t="s">
        <v>141</v>
      </c>
      <c r="D16" s="32" t="s">
        <v>143</v>
      </c>
      <c r="I16" s="7"/>
      <c r="J16" s="7"/>
      <c r="K16" s="7"/>
      <c r="M16" s="7"/>
      <c r="N16" s="7"/>
      <c r="O16" s="7"/>
    </row>
    <row r="17" spans="1:15" s="1" customFormat="1" ht="16.5">
      <c r="A17" s="2" t="s">
        <v>144</v>
      </c>
      <c r="B17" s="26">
        <v>60</v>
      </c>
      <c r="C17" s="2" t="s">
        <v>141</v>
      </c>
      <c r="D17" s="32"/>
      <c r="I17" s="38" t="s">
        <v>145</v>
      </c>
      <c r="J17" s="38"/>
      <c r="K17" s="38"/>
      <c r="M17" s="38" t="s">
        <v>145</v>
      </c>
      <c r="N17" s="38"/>
      <c r="O17" s="38"/>
    </row>
    <row r="18" spans="1:15" s="1" customFormat="1" ht="16.5">
      <c r="A18" s="2" t="s">
        <v>146</v>
      </c>
      <c r="B18" s="25">
        <f>(((1-(Vo/(220*2^0.5+Vo)))/(B17*10^3)*10^6/21.42)*50)</f>
        <v>34.27725704356106</v>
      </c>
      <c r="C18" s="2" t="s">
        <v>147</v>
      </c>
      <c r="D18" s="32"/>
      <c r="I18" s="2" t="s">
        <v>113</v>
      </c>
      <c r="J18" s="5">
        <v>135</v>
      </c>
      <c r="K18" s="6" t="s">
        <v>114</v>
      </c>
      <c r="M18" s="2" t="s">
        <v>113</v>
      </c>
      <c r="N18" s="5">
        <v>264</v>
      </c>
      <c r="O18" s="6" t="s">
        <v>114</v>
      </c>
    </row>
    <row r="19" spans="1:15" s="1" customFormat="1" ht="16.5">
      <c r="A19" s="2" t="s">
        <v>148</v>
      </c>
      <c r="B19" s="26">
        <v>33</v>
      </c>
      <c r="C19" s="2" t="s">
        <v>147</v>
      </c>
      <c r="D19" s="32" t="s">
        <v>149</v>
      </c>
      <c r="I19" s="6" t="s">
        <v>116</v>
      </c>
      <c r="J19" s="28">
        <f>((vref/Rcs)*PI())/(2*COS(ASIN(Vo/(J18*2^0.5))))+((Vo/Ind)*J20/2)</f>
        <v>0.5502091184495816</v>
      </c>
      <c r="K19" s="6" t="s">
        <v>117</v>
      </c>
      <c r="M19" s="6" t="s">
        <v>116</v>
      </c>
      <c r="N19" s="28">
        <f>((vref/Rcs)*PI())/(2*COS(ASIN(Vo/(N18*2^0.5))))+((Vo/Ind)*N20/2)</f>
        <v>0.6288556782952437</v>
      </c>
      <c r="O19" s="6" t="s">
        <v>117</v>
      </c>
    </row>
    <row r="20" spans="1:15" ht="16.5">
      <c r="A20" s="2" t="s">
        <v>150</v>
      </c>
      <c r="B20" s="25">
        <f>(B19/50)*21.42</f>
        <v>14.137200000000002</v>
      </c>
      <c r="C20" s="2" t="s">
        <v>138</v>
      </c>
      <c r="D20" s="32"/>
      <c r="E20" s="1"/>
      <c r="F20" s="1"/>
      <c r="I20" s="6" t="s">
        <v>120</v>
      </c>
      <c r="J20" s="29">
        <f>IF(J18&gt;150,toff_H,toff_H/1.4)</f>
        <v>10.098000000000003</v>
      </c>
      <c r="K20" s="6" t="s">
        <v>121</v>
      </c>
      <c r="L20" s="1"/>
      <c r="M20" s="6" t="s">
        <v>120</v>
      </c>
      <c r="N20" s="29">
        <f>IF(N18&gt;150,toff_H,toff_H/1.4)</f>
        <v>14.137200000000002</v>
      </c>
      <c r="O20" s="6" t="s">
        <v>121</v>
      </c>
    </row>
    <row r="21" spans="1:15" ht="16.5">
      <c r="A21" s="2" t="s">
        <v>151</v>
      </c>
      <c r="B21" s="27">
        <f>B3*toff_H/B13</f>
        <v>988.9158577706996</v>
      </c>
      <c r="C21" s="2" t="s">
        <v>152</v>
      </c>
      <c r="D21" s="32" t="s">
        <v>153</v>
      </c>
      <c r="E21" s="1"/>
      <c r="F21" s="1"/>
      <c r="I21" s="6" t="s">
        <v>124</v>
      </c>
      <c r="J21" s="29">
        <f>J20*(Vo/(J18*2^0.5+Vo))/(1-(Vo/(J18*2^0.5+Vo)))</f>
        <v>2.2214466637756582</v>
      </c>
      <c r="K21" s="6" t="s">
        <v>121</v>
      </c>
      <c r="M21" s="6" t="s">
        <v>124</v>
      </c>
      <c r="N21" s="29">
        <f>N20*(Vo/(N18*2^0.5+Vo))/(1-(Vo/(N18*2^0.5+Vo)))</f>
        <v>1.5903538615666641</v>
      </c>
      <c r="O21" s="6" t="s">
        <v>121</v>
      </c>
    </row>
    <row r="22" spans="1:15" ht="16.5">
      <c r="A22" s="2" t="s">
        <v>154</v>
      </c>
      <c r="B22" s="3">
        <v>1000</v>
      </c>
      <c r="C22" s="2" t="s">
        <v>152</v>
      </c>
      <c r="D22" s="32"/>
      <c r="E22" s="1"/>
      <c r="F22" s="1"/>
      <c r="I22" s="2" t="s">
        <v>127</v>
      </c>
      <c r="J22" s="29">
        <f>1/(J21+J20)*1000</f>
        <v>81.17247692142045</v>
      </c>
      <c r="K22" s="6" t="s">
        <v>128</v>
      </c>
      <c r="M22" s="2" t="s">
        <v>127</v>
      </c>
      <c r="N22" s="29">
        <f>1/(N21+N20)*1000</f>
        <v>63.58267845095062</v>
      </c>
      <c r="O22" s="6" t="s">
        <v>128</v>
      </c>
    </row>
    <row r="23" spans="1:3" ht="16.5">
      <c r="A23" s="2" t="s">
        <v>155</v>
      </c>
      <c r="B23" s="36">
        <f>(((vref/Rcs)*PI())/(2*COS(ASIN(Vo/(180*2^0.5))))+((Vo/Ind)*toff_H/2))*1.25</f>
        <v>0.7891651079681425</v>
      </c>
      <c r="C23" s="2" t="s">
        <v>112</v>
      </c>
    </row>
    <row r="24" ht="16.5">
      <c r="H24" s="21"/>
    </row>
  </sheetData>
  <mergeCells count="8">
    <mergeCell ref="M2:O2"/>
    <mergeCell ref="M3:O3"/>
    <mergeCell ref="M10:O10"/>
    <mergeCell ref="M17:O17"/>
    <mergeCell ref="I3:K3"/>
    <mergeCell ref="I10:K10"/>
    <mergeCell ref="I2:K2"/>
    <mergeCell ref="I17:K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5"/>
  <sheetViews>
    <sheetView workbookViewId="0" topLeftCell="A1">
      <selection activeCell="A8" sqref="A8"/>
    </sheetView>
  </sheetViews>
  <sheetFormatPr defaultColWidth="9.00390625" defaultRowHeight="16.5"/>
  <cols>
    <col min="1" max="16384" width="10.625" style="7" customWidth="1"/>
  </cols>
  <sheetData>
    <row r="1" s="1" customFormat="1" ht="18" customHeight="1">
      <c r="A1" s="33" t="s">
        <v>57</v>
      </c>
    </row>
    <row r="2" s="1" customFormat="1" ht="16.5"/>
    <row r="3" spans="2:10" s="1" customFormat="1" ht="16.5">
      <c r="B3" s="2" t="s">
        <v>8</v>
      </c>
      <c r="C3" s="3">
        <v>1200</v>
      </c>
      <c r="D3" s="2" t="s">
        <v>9</v>
      </c>
      <c r="E3" s="4" t="str">
        <f>IF(J8&lt;9,"OK","NG =&gt; Lp need to decrease")</f>
        <v>OK</v>
      </c>
      <c r="J3" s="1" t="s">
        <v>10</v>
      </c>
    </row>
    <row r="4" spans="2:19" s="1" customFormat="1" ht="16.5">
      <c r="B4" s="2" t="s">
        <v>11</v>
      </c>
      <c r="C4" s="3">
        <v>30</v>
      </c>
      <c r="D4" s="2" t="s">
        <v>12</v>
      </c>
      <c r="I4" s="2" t="s">
        <v>13</v>
      </c>
      <c r="J4" s="5">
        <v>90</v>
      </c>
      <c r="K4" s="6" t="s">
        <v>14</v>
      </c>
      <c r="L4" s="7"/>
      <c r="M4" s="2" t="s">
        <v>13</v>
      </c>
      <c r="N4" s="5">
        <v>115</v>
      </c>
      <c r="O4" s="6" t="s">
        <v>14</v>
      </c>
      <c r="P4" s="7"/>
      <c r="Q4" s="2" t="s">
        <v>13</v>
      </c>
      <c r="R4" s="5">
        <v>135</v>
      </c>
      <c r="S4" s="6" t="s">
        <v>14</v>
      </c>
    </row>
    <row r="5" spans="2:19" s="1" customFormat="1" ht="16.5">
      <c r="B5" s="2" t="s">
        <v>15</v>
      </c>
      <c r="C5" s="3">
        <v>0.7</v>
      </c>
      <c r="D5" s="2" t="s">
        <v>16</v>
      </c>
      <c r="I5" s="2" t="s">
        <v>17</v>
      </c>
      <c r="J5" s="6">
        <f>$C$11/J4</f>
        <v>0.12222222222222222</v>
      </c>
      <c r="K5" s="6" t="s">
        <v>18</v>
      </c>
      <c r="L5" s="7"/>
      <c r="M5" s="2" t="s">
        <v>17</v>
      </c>
      <c r="N5" s="6">
        <f>$C$11/N4</f>
        <v>0.09565217391304348</v>
      </c>
      <c r="O5" s="6" t="s">
        <v>18</v>
      </c>
      <c r="P5" s="7"/>
      <c r="Q5" s="2" t="s">
        <v>17</v>
      </c>
      <c r="R5" s="6">
        <f>$C$11/R4</f>
        <v>0.08148148148148149</v>
      </c>
      <c r="S5" s="6" t="s">
        <v>18</v>
      </c>
    </row>
    <row r="6" spans="2:19" s="1" customFormat="1" ht="16.5">
      <c r="B6" s="2" t="s">
        <v>19</v>
      </c>
      <c r="C6" s="3">
        <v>0.33</v>
      </c>
      <c r="D6" s="2" t="s">
        <v>20</v>
      </c>
      <c r="I6" s="6" t="s">
        <v>21</v>
      </c>
      <c r="J6" s="6">
        <f>2*J5*SQRT(2)/J7</f>
        <v>0.90267093384844</v>
      </c>
      <c r="K6" s="6" t="s">
        <v>22</v>
      </c>
      <c r="L6" s="7"/>
      <c r="M6" s="6" t="s">
        <v>21</v>
      </c>
      <c r="N6" s="6">
        <f>2*N5*SQRT(2)/N7</f>
        <v>0.9026709338484402</v>
      </c>
      <c r="O6" s="6" t="s">
        <v>22</v>
      </c>
      <c r="P6" s="7"/>
      <c r="Q6" s="6" t="s">
        <v>21</v>
      </c>
      <c r="R6" s="6">
        <f>2*R5*SQRT(2)/R7</f>
        <v>0.9026709338484403</v>
      </c>
      <c r="S6" s="6" t="s">
        <v>22</v>
      </c>
    </row>
    <row r="7" spans="2:19" s="1" customFormat="1" ht="16.5">
      <c r="B7" s="6" t="s">
        <v>23</v>
      </c>
      <c r="C7" s="5">
        <v>3.3</v>
      </c>
      <c r="D7" s="6" t="s">
        <v>24</v>
      </c>
      <c r="E7" s="8" t="s">
        <v>25</v>
      </c>
      <c r="F7" s="9">
        <f>100/(C4+C5)</f>
        <v>3.257328990228013</v>
      </c>
      <c r="I7" s="6" t="s">
        <v>26</v>
      </c>
      <c r="J7" s="6">
        <f>SQRT(2*J5*$C$3*10^-6/(J4/$C$12*10^-3))</f>
        <v>0.38297084310253526</v>
      </c>
      <c r="K7" s="6"/>
      <c r="L7" s="7"/>
      <c r="M7" s="6" t="s">
        <v>26</v>
      </c>
      <c r="N7" s="6">
        <f>SQRT(2*N5*$C$3*10^-6/(N4/$C$12*10^-3))</f>
        <v>0.29971631199328846</v>
      </c>
      <c r="O7" s="6"/>
      <c r="P7" s="7"/>
      <c r="Q7" s="6" t="s">
        <v>26</v>
      </c>
      <c r="R7" s="6">
        <f>SQRT(2*R5*$C$3*10^-6/(R4/$C$12*10^-3))</f>
        <v>0.25531389540169014</v>
      </c>
      <c r="S7" s="6"/>
    </row>
    <row r="8" spans="2:19" s="1" customFormat="1" ht="16.5">
      <c r="B8" s="2" t="s">
        <v>27</v>
      </c>
      <c r="C8" s="10">
        <f>C7/(10*C6)</f>
        <v>0.9999999999999999</v>
      </c>
      <c r="D8" s="11" t="s">
        <v>28</v>
      </c>
      <c r="E8" s="8" t="s">
        <v>29</v>
      </c>
      <c r="I8" s="6" t="s">
        <v>30</v>
      </c>
      <c r="J8" s="6">
        <f>J7/$C$12*10^3</f>
        <v>8.51046318005634</v>
      </c>
      <c r="K8" s="6" t="s">
        <v>31</v>
      </c>
      <c r="L8" s="7"/>
      <c r="M8" s="6" t="s">
        <v>30</v>
      </c>
      <c r="N8" s="6">
        <f>N7/$C$12*10^3</f>
        <v>6.660362488739744</v>
      </c>
      <c r="O8" s="6" t="s">
        <v>31</v>
      </c>
      <c r="P8" s="7"/>
      <c r="Q8" s="6" t="s">
        <v>30</v>
      </c>
      <c r="R8" s="6">
        <f>R7/$C$12*10^3</f>
        <v>5.673642120037559</v>
      </c>
      <c r="S8" s="6" t="s">
        <v>31</v>
      </c>
    </row>
    <row r="9" spans="2:19" s="1" customFormat="1" ht="16.5">
      <c r="B9" s="2" t="s">
        <v>32</v>
      </c>
      <c r="C9" s="12">
        <f>(C4)*C6</f>
        <v>9.9</v>
      </c>
      <c r="D9" s="2" t="s">
        <v>33</v>
      </c>
      <c r="I9" s="6" t="s">
        <v>34</v>
      </c>
      <c r="J9" s="6">
        <f>$C$3*J6/(($C$4+$C$5)*$C$7)</f>
        <v>10.69198618712988</v>
      </c>
      <c r="K9" s="6" t="s">
        <v>31</v>
      </c>
      <c r="L9" s="7"/>
      <c r="M9" s="6" t="s">
        <v>34</v>
      </c>
      <c r="N9" s="6">
        <f>$C$3*N6/(($C$4+$C$5)*$C$7)</f>
        <v>10.691986187129881</v>
      </c>
      <c r="O9" s="6" t="s">
        <v>31</v>
      </c>
      <c r="P9" s="7"/>
      <c r="Q9" s="6" t="s">
        <v>34</v>
      </c>
      <c r="R9" s="6">
        <f>$C$3*R6/(($C$4+$C$5)*$C$7)</f>
        <v>10.691986187129883</v>
      </c>
      <c r="S9" s="6" t="s">
        <v>31</v>
      </c>
    </row>
    <row r="10" spans="2:19" s="1" customFormat="1" ht="16.5">
      <c r="B10" s="2" t="s">
        <v>35</v>
      </c>
      <c r="C10" s="13">
        <v>0.9</v>
      </c>
      <c r="D10" s="2"/>
      <c r="E10" s="8" t="s">
        <v>36</v>
      </c>
      <c r="I10" s="6" t="s">
        <v>37</v>
      </c>
      <c r="J10" s="6">
        <f>1/$C$12*1000-J8-J9</f>
        <v>3.0197728550360026</v>
      </c>
      <c r="K10" s="6" t="s">
        <v>31</v>
      </c>
      <c r="L10" s="7"/>
      <c r="M10" s="6" t="s">
        <v>37</v>
      </c>
      <c r="N10" s="6">
        <f>1/$C$12*1000-N8-N9</f>
        <v>4.869873546352597</v>
      </c>
      <c r="O10" s="6" t="s">
        <v>31</v>
      </c>
      <c r="P10" s="7"/>
      <c r="Q10" s="6" t="s">
        <v>37</v>
      </c>
      <c r="R10" s="6">
        <f>1/$C$12*1000-R8-R9</f>
        <v>5.856593915054779</v>
      </c>
      <c r="S10" s="6" t="s">
        <v>31</v>
      </c>
    </row>
    <row r="11" spans="2:19" s="1" customFormat="1" ht="16.5">
      <c r="B11" s="2" t="s">
        <v>38</v>
      </c>
      <c r="C11" s="14">
        <f>C9/C10</f>
        <v>11</v>
      </c>
      <c r="D11" s="2" t="s">
        <v>33</v>
      </c>
      <c r="I11" s="7"/>
      <c r="J11" s="7" t="str">
        <f>IF(J10&gt;0,"DCM","Not DCM")</f>
        <v>DCM</v>
      </c>
      <c r="K11" s="7"/>
      <c r="L11" s="7"/>
      <c r="M11" s="7"/>
      <c r="N11" s="7" t="str">
        <f>IF(N10&gt;0,"DCM","Not DCM")</f>
        <v>DCM</v>
      </c>
      <c r="O11" s="7"/>
      <c r="P11" s="7"/>
      <c r="Q11" s="7"/>
      <c r="R11" s="7" t="str">
        <f>IF(R10&gt;0,"DCM","Not DCM")</f>
        <v>DCM</v>
      </c>
      <c r="S11" s="7"/>
    </row>
    <row r="12" spans="2:4" ht="16.5">
      <c r="B12" s="6" t="s">
        <v>39</v>
      </c>
      <c r="C12" s="5">
        <v>45</v>
      </c>
      <c r="D12" s="6" t="s">
        <v>40</v>
      </c>
    </row>
    <row r="13" spans="2:19" ht="16.5">
      <c r="B13" s="6" t="s">
        <v>41</v>
      </c>
      <c r="C13" s="5">
        <v>25</v>
      </c>
      <c r="D13" s="6" t="s">
        <v>16</v>
      </c>
      <c r="I13" s="2" t="s">
        <v>13</v>
      </c>
      <c r="J13" s="5">
        <v>180</v>
      </c>
      <c r="K13" s="6" t="s">
        <v>14</v>
      </c>
      <c r="M13" s="2" t="s">
        <v>13</v>
      </c>
      <c r="N13" s="5">
        <v>230</v>
      </c>
      <c r="O13" s="6" t="s">
        <v>14</v>
      </c>
      <c r="Q13" s="2" t="s">
        <v>13</v>
      </c>
      <c r="R13" s="5">
        <v>264</v>
      </c>
      <c r="S13" s="6" t="s">
        <v>14</v>
      </c>
    </row>
    <row r="14" spans="9:19" ht="16.5">
      <c r="I14" s="2" t="s">
        <v>17</v>
      </c>
      <c r="J14" s="6">
        <f>$C$11/J13</f>
        <v>0.06111111111111111</v>
      </c>
      <c r="K14" s="6" t="s">
        <v>18</v>
      </c>
      <c r="M14" s="2" t="s">
        <v>17</v>
      </c>
      <c r="N14" s="6">
        <f>$C$11/N13</f>
        <v>0.04782608695652174</v>
      </c>
      <c r="O14" s="6" t="s">
        <v>18</v>
      </c>
      <c r="Q14" s="2" t="s">
        <v>17</v>
      </c>
      <c r="R14" s="6">
        <f>$C$11/R13</f>
        <v>0.041666666666666664</v>
      </c>
      <c r="S14" s="6" t="s">
        <v>18</v>
      </c>
    </row>
    <row r="15" spans="2:19" ht="16.5">
      <c r="B15" s="6" t="s">
        <v>42</v>
      </c>
      <c r="C15" s="5">
        <v>3000</v>
      </c>
      <c r="D15" s="6" t="s">
        <v>43</v>
      </c>
      <c r="E15" s="8" t="s">
        <v>44</v>
      </c>
      <c r="I15" s="6" t="s">
        <v>21</v>
      </c>
      <c r="J15" s="6">
        <f>2*J14*SQRT(2)/J16</f>
        <v>0.90267093384844</v>
      </c>
      <c r="K15" s="6" t="s">
        <v>22</v>
      </c>
      <c r="M15" s="6" t="s">
        <v>21</v>
      </c>
      <c r="N15" s="6">
        <f>2*N14*SQRT(2)/N16</f>
        <v>0.9026709338484402</v>
      </c>
      <c r="O15" s="6" t="s">
        <v>22</v>
      </c>
      <c r="Q15" s="6" t="s">
        <v>21</v>
      </c>
      <c r="R15" s="6">
        <f>2*R14*SQRT(2)/R16</f>
        <v>0.9026709338484401</v>
      </c>
      <c r="S15" s="6" t="s">
        <v>22</v>
      </c>
    </row>
    <row r="16" spans="2:19" ht="16.5">
      <c r="B16" s="6" t="s">
        <v>45</v>
      </c>
      <c r="C16" s="5">
        <v>0.24</v>
      </c>
      <c r="D16" s="6" t="s">
        <v>46</v>
      </c>
      <c r="I16" s="6" t="s">
        <v>26</v>
      </c>
      <c r="J16" s="6">
        <f>SQRT(2*J14*$C$3*10^-6/(J13/$C$12*10^-3))</f>
        <v>0.19148542155126763</v>
      </c>
      <c r="K16" s="6"/>
      <c r="M16" s="6" t="s">
        <v>26</v>
      </c>
      <c r="N16" s="6">
        <f>SQRT(2*N14*$C$3*10^-6/(N13/$C$12*10^-3))</f>
        <v>0.14985815599664423</v>
      </c>
      <c r="O16" s="6"/>
      <c r="Q16" s="6" t="s">
        <v>26</v>
      </c>
      <c r="R16" s="6">
        <f>SQRT(2*R14*$C$3*10^-6/(R13/$C$12*10^-3))</f>
        <v>0.13055824196677338</v>
      </c>
      <c r="S16" s="6"/>
    </row>
    <row r="17" spans="2:19" ht="16.5">
      <c r="B17" s="6" t="s">
        <v>47</v>
      </c>
      <c r="C17" s="15">
        <f>C3*J6*10^-6/(C15*C16*10^-8)</f>
        <v>150.44515564140664</v>
      </c>
      <c r="D17" s="6" t="s">
        <v>48</v>
      </c>
      <c r="E17" s="6" t="s">
        <v>49</v>
      </c>
      <c r="F17" s="16">
        <f>ROUND(C17,0)</f>
        <v>150</v>
      </c>
      <c r="G17" s="6" t="s">
        <v>48</v>
      </c>
      <c r="I17" s="6" t="s">
        <v>30</v>
      </c>
      <c r="J17" s="6">
        <f>J16/$C$12*10^3</f>
        <v>4.25523159002817</v>
      </c>
      <c r="K17" s="6" t="s">
        <v>31</v>
      </c>
      <c r="M17" s="6" t="s">
        <v>30</v>
      </c>
      <c r="N17" s="6">
        <f>N16/$C$12*10^3</f>
        <v>3.330181244369872</v>
      </c>
      <c r="O17" s="6" t="s">
        <v>31</v>
      </c>
      <c r="Q17" s="6" t="s">
        <v>30</v>
      </c>
      <c r="R17" s="6">
        <f>R16/$C$12*10^3</f>
        <v>2.901294265928297</v>
      </c>
      <c r="S17" s="6" t="s">
        <v>31</v>
      </c>
    </row>
    <row r="18" spans="2:19" ht="16.5">
      <c r="B18" s="6" t="s">
        <v>50</v>
      </c>
      <c r="C18" s="15">
        <f>F17/C7</f>
        <v>45.45454545454546</v>
      </c>
      <c r="D18" s="6" t="s">
        <v>48</v>
      </c>
      <c r="E18" s="6" t="s">
        <v>51</v>
      </c>
      <c r="F18" s="16">
        <f>ROUND(C18,0)</f>
        <v>45</v>
      </c>
      <c r="G18" s="6" t="s">
        <v>48</v>
      </c>
      <c r="I18" s="6" t="s">
        <v>34</v>
      </c>
      <c r="J18" s="6">
        <f>$C$3*J15/(($C$4+$C$5)*$C$7)</f>
        <v>10.69198618712988</v>
      </c>
      <c r="K18" s="6" t="s">
        <v>31</v>
      </c>
      <c r="M18" s="6" t="s">
        <v>34</v>
      </c>
      <c r="N18" s="6">
        <f>$C$3*N15/(($C$4+$C$5)*$C$7)</f>
        <v>10.691986187129881</v>
      </c>
      <c r="O18" s="6" t="s">
        <v>31</v>
      </c>
      <c r="Q18" s="6" t="s">
        <v>34</v>
      </c>
      <c r="R18" s="6">
        <f>$C$3*R15/(($C$4+$C$5)*$C$7)</f>
        <v>10.691986187129881</v>
      </c>
      <c r="S18" s="6" t="s">
        <v>31</v>
      </c>
    </row>
    <row r="19" spans="2:19" ht="16.5">
      <c r="B19" s="6" t="s">
        <v>52</v>
      </c>
      <c r="C19" s="15">
        <f>F18*C13/C4</f>
        <v>37.5</v>
      </c>
      <c r="D19" s="6" t="s">
        <v>48</v>
      </c>
      <c r="E19" s="6" t="s">
        <v>52</v>
      </c>
      <c r="F19" s="22">
        <f>ROUND(C19,0)</f>
        <v>38</v>
      </c>
      <c r="G19" s="6" t="s">
        <v>48</v>
      </c>
      <c r="I19" s="6" t="s">
        <v>37</v>
      </c>
      <c r="J19" s="6">
        <f>1/$C$12*1000-J17-J18</f>
        <v>7.275004445064171</v>
      </c>
      <c r="K19" s="6" t="s">
        <v>31</v>
      </c>
      <c r="M19" s="6" t="s">
        <v>37</v>
      </c>
      <c r="N19" s="6">
        <f>1/$C$12*1000-N17-N18</f>
        <v>8.200054790722469</v>
      </c>
      <c r="O19" s="6" t="s">
        <v>31</v>
      </c>
      <c r="Q19" s="6" t="s">
        <v>37</v>
      </c>
      <c r="R19" s="6">
        <f>1/$C$12*1000-R17-R18</f>
        <v>8.628941769164044</v>
      </c>
      <c r="S19" s="6" t="s">
        <v>31</v>
      </c>
    </row>
    <row r="20" spans="10:18" ht="16.5">
      <c r="J20" s="7" t="str">
        <f>IF(J19&gt;0,"DCM","Not DCM")</f>
        <v>DCM</v>
      </c>
      <c r="N20" s="7" t="str">
        <f>IF(N19&gt;0,"DCM","Not DCM")</f>
        <v>DCM</v>
      </c>
      <c r="R20" s="7" t="str">
        <f>IF(R19&gt;0,"DCM","Not DCM")</f>
        <v>DCM</v>
      </c>
    </row>
    <row r="23" spans="2:3" ht="16.5">
      <c r="B23" s="17"/>
      <c r="C23" s="18" t="s">
        <v>53</v>
      </c>
    </row>
    <row r="24" spans="2:3" ht="16.5">
      <c r="B24" s="19"/>
      <c r="C24" s="18" t="s">
        <v>54</v>
      </c>
    </row>
    <row r="25" spans="2:3" ht="16.5">
      <c r="B25" s="20"/>
      <c r="C25" s="18" t="s">
        <v>55</v>
      </c>
    </row>
    <row r="35" ht="16.5">
      <c r="I35" s="21"/>
    </row>
  </sheetData>
  <printOptions/>
  <pageMargins left="0.75" right="0.75" top="1" bottom="1" header="0.5" footer="0.5"/>
  <pageSetup horizontalDpi="600" verticalDpi="600" orientation="portrait" paperSize="9" r:id="rId3"/>
  <legacyDrawing r:id="rId2"/>
  <oleObjects>
    <oleObject progId="Equation.3" shapeId="64895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Sally Lsy</cp:lastModifiedBy>
  <dcterms:created xsi:type="dcterms:W3CDTF">1997-01-14T01:50:29Z</dcterms:created>
  <dcterms:modified xsi:type="dcterms:W3CDTF">2012-06-26T09:44:16Z</dcterms:modified>
  <cp:category/>
  <cp:version/>
  <cp:contentType/>
  <cp:contentStatus/>
</cp:coreProperties>
</file>